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mentário" sheetId="1" r:id="rId4"/>
    <sheet state="hidden" name="Completa_Observações" sheetId="2" r:id="rId5"/>
    <sheet state="hidden" name="Lista_Area" sheetId="3" r:id="rId6"/>
    <sheet state="hidden" name="atalizacao" sheetId="4" r:id="rId7"/>
    <sheet state="hidden" name="estudo dirigido" sheetId="5" r:id="rId8"/>
    <sheet state="hidden" name="mono_cd" sheetId="6" r:id="rId9"/>
  </sheets>
  <definedNames>
    <definedName name="AreaConcentracao">Lista_Area!$A$2:$A$84</definedName>
    <definedName hidden="1" localSheetId="0" name="_xlnm._FilterDatabase">'Ementário'!$A$5:$G$720</definedName>
    <definedName hidden="1" localSheetId="1" name="_xlnm._FilterDatabase">'Completa_Observações'!$A$5:$G$678</definedName>
    <definedName hidden="1" localSheetId="4" name="_xlnm._FilterDatabase">'estudo dirigido'!$A$1:$F$106</definedName>
    <definedName hidden="1" localSheetId="5" name="_xlnm._FilterDatabase">mono_cd!$A$1:$C$220</definedName>
    <definedName hidden="1" name="Google_Sheet_Link_92006415">AreaConcentracao</definedName>
  </definedNames>
  <calcPr/>
  <extLst>
    <ext uri="GoogleSheetsCustomDataVersion1">
      <go:sheetsCustomData xmlns:go="http://customooxmlschemas.google.com/" r:id="rId10" roundtripDataSignature="AMtx7mgJiBVRJSkIzOcoUTapp5erWzlncw=="/>
    </ext>
  </extLst>
</workbook>
</file>

<file path=xl/sharedStrings.xml><?xml version="1.0" encoding="utf-8"?>
<sst xmlns="http://schemas.openxmlformats.org/spreadsheetml/2006/main" count="7889" uniqueCount="3240">
  <si>
    <t>UNIVERSIDADE ESTADUAL DE SANTA CRUZ</t>
  </si>
  <si>
    <t>CURSO DE CIÊNCIAS ECONÔMICAS</t>
  </si>
  <si>
    <t>REPOSITÓRIO DE MONOGRAFIAS</t>
  </si>
  <si>
    <t xml:space="preserve">Ano/Nº </t>
  </si>
  <si>
    <t>Título</t>
  </si>
  <si>
    <t>Área de Concentração</t>
  </si>
  <si>
    <t>Palavras-Chave</t>
  </si>
  <si>
    <t>Autor</t>
  </si>
  <si>
    <t>Orientador(a)</t>
  </si>
  <si>
    <t>Ano da Defesa</t>
  </si>
  <si>
    <t>Acessar Resumo</t>
  </si>
  <si>
    <t>Clique nos títulos para acessar texto completo</t>
  </si>
  <si>
    <t>2004-01</t>
  </si>
  <si>
    <t>Economia Monetária</t>
  </si>
  <si>
    <t>Plano Real. Inflação. Estabilização. Indicadores econômicos. Crescimento econômico.</t>
  </si>
  <si>
    <t>Marcelo Amaral Rafaele</t>
  </si>
  <si>
    <t>Antônio César Costa Zugaib</t>
  </si>
  <si>
    <t>2004-02</t>
  </si>
  <si>
    <t>Economia do Trabalho</t>
  </si>
  <si>
    <t>Desemprego, mazelas sociais, neoliberal, produtividade, privatizações.</t>
  </si>
  <si>
    <t>Luis Paulo Ribeiro Dias Júnior</t>
  </si>
  <si>
    <t>Everson dos Santos Silveira</t>
  </si>
  <si>
    <t>2004-03</t>
  </si>
  <si>
    <t>Economia do Setor Público</t>
  </si>
  <si>
    <t>Acidente de trânsito. Custos de saúde em acidente de trânsito. Estatísticas de trânsito. Infrações de trânsito.</t>
  </si>
  <si>
    <t>Alexandro Santos Barreto</t>
  </si>
  <si>
    <t>Alessandro Fernandes de Santana</t>
  </si>
  <si>
    <t>2004-04</t>
  </si>
  <si>
    <t>Microcrédito</t>
  </si>
  <si>
    <t>Microcrédito; Bancos; Renda; Emprego; Inclusão Social</t>
  </si>
  <si>
    <t>Givaldo Ribeiro dos Santos</t>
  </si>
  <si>
    <t>Valter Alves Nascimento</t>
  </si>
  <si>
    <t>2004-05</t>
  </si>
  <si>
    <t>Economia do Turismo</t>
  </si>
  <si>
    <t>Turismo; demanda turística; oferta turística; perfil; turismo receptivo.</t>
  </si>
  <si>
    <t>Elton Silva Oliveira</t>
  </si>
  <si>
    <t>Cristiane Aparecida de Cerqueira</t>
  </si>
  <si>
    <t>2004-06</t>
  </si>
  <si>
    <t>Economia e Cooperativismo</t>
  </si>
  <si>
    <t>Cooperativismo, mercado de trabalho, globalização, competitividade, desemprego.</t>
  </si>
  <si>
    <t>Maria Alice Rabelo Santana</t>
  </si>
  <si>
    <t>Raimundo Bonfim dos Santos</t>
  </si>
  <si>
    <t>2004-07</t>
  </si>
  <si>
    <t>Economia do Meio Ambiente</t>
  </si>
  <si>
    <t>Modernização da cacauicultura; degradação ambiental; externalidades negativas; desenvolvimento sustentável.</t>
  </si>
  <si>
    <t>Wellington Duarte da Costa</t>
  </si>
  <si>
    <t>2004-08</t>
  </si>
  <si>
    <t>Economia Agrícola</t>
  </si>
  <si>
    <t>Euterpe oleracea Mart. (açaizeiro), viabilidade, indicadores, açaí, produção, manejo, projeto.</t>
  </si>
  <si>
    <t>Jamilly Amaral Firmato de Almeida</t>
  </si>
  <si>
    <t>Altenides Caldeira Moreau</t>
  </si>
  <si>
    <t>2004-09</t>
  </si>
  <si>
    <t>Economia Brasileira</t>
  </si>
  <si>
    <t>Plano de Metas – Desenvolvimento econômico – Industrialização – Política econômica – Substituição de importações – Produto Interno Bruto (PIB) – Estabilidade monetária.</t>
  </si>
  <si>
    <t>Danielle Monteiro de Brito</t>
  </si>
  <si>
    <t>2004-10</t>
  </si>
  <si>
    <t>Viabilidade Econômico-financeira</t>
  </si>
  <si>
    <t xml:space="preserve">Mandioca; cultivo; processos de produção; farinha; viabilidade econômico-financeira. </t>
  </si>
  <si>
    <t>Humberto Viana Lima</t>
  </si>
  <si>
    <t>Jadergudson Pereira</t>
  </si>
  <si>
    <t>2004-11</t>
  </si>
  <si>
    <t>Desenvolvimento Socioeconômico</t>
  </si>
  <si>
    <t>Pólo de Informática, desenvolvimento econômico, Estado, funcionários.</t>
  </si>
  <si>
    <t>Andréa Queiroz Silva</t>
  </si>
  <si>
    <t>Aline Conceição Souza</t>
  </si>
  <si>
    <t>2004-12</t>
  </si>
  <si>
    <t>Turismo receptivo; sustentabilidade; pousadas; viabilidade financeira; demanda e oferta turística.</t>
  </si>
  <si>
    <t>Marlucia Moreno dos Santos</t>
  </si>
  <si>
    <t>Carla Regina Ferreira Freire Guimarães</t>
  </si>
  <si>
    <t>2004-13</t>
  </si>
  <si>
    <t>Economia Financeira</t>
  </si>
  <si>
    <r>
      <rPr>
        <rFont val="Arial"/>
        <color theme="1"/>
        <sz val="11.0"/>
      </rPr>
      <t xml:space="preserve">Prêmio arrecadado; produto interno bruto e </t>
    </r>
    <r>
      <rPr>
        <rFont val="Arial"/>
        <i/>
        <color rgb="FF000000"/>
        <sz val="11.0"/>
      </rPr>
      <t>per capita</t>
    </r>
    <r>
      <rPr>
        <rFont val="Arial"/>
        <color rgb="FF000000"/>
        <sz val="11.0"/>
      </rPr>
      <t>; taxa de inflação.</t>
    </r>
  </si>
  <si>
    <t>Cleriston Clay Miranda dos Santos</t>
  </si>
  <si>
    <t>Mônica de Moura Pires</t>
  </si>
  <si>
    <t>2004-14</t>
  </si>
  <si>
    <t>Municipalização; saúde; SUS; emprego; renda.</t>
  </si>
  <si>
    <t>Ruy de Lima Ribeiro Júnior</t>
  </si>
  <si>
    <t>2004-15</t>
  </si>
  <si>
    <r>
      <rPr>
        <rFont val="Arial"/>
        <color theme="1"/>
        <sz val="11.0"/>
      </rPr>
      <t>Orçamento; finanças; município; receitas; despesas.</t>
    </r>
    <r>
      <rPr>
        <rFont val="Arial"/>
        <b/>
        <color theme="1"/>
        <sz val="11.0"/>
      </rPr>
      <t xml:space="preserve"> </t>
    </r>
  </si>
  <si>
    <t>Rafael Ferreira Sá Mendes</t>
  </si>
  <si>
    <t xml:space="preserve">Raimundo Bonfim dos Santos </t>
  </si>
  <si>
    <t>2004-16</t>
  </si>
  <si>
    <t>Desenvolvimento Econômico. Habitação. Perfil Socioeconômico.</t>
  </si>
  <si>
    <t>Marizete Bomfim dos Santos</t>
  </si>
  <si>
    <t>Hilmar Ilton Santana Ferreira</t>
  </si>
  <si>
    <t>2004-17</t>
  </si>
  <si>
    <t>Fragilidade do sistema bancário; estabilidade financeira; supervisão prudencial; riscos de crédito e liquidez; base monetária; reservas bancárias.</t>
  </si>
  <si>
    <t>Carlos Antônio Almeida de Oliveira</t>
  </si>
  <si>
    <t>Francisco Mendes Costa</t>
  </si>
  <si>
    <t>2004-18</t>
  </si>
  <si>
    <t>Consumidores; monopólio.</t>
  </si>
  <si>
    <t>Eneide Maria dos Santos</t>
  </si>
  <si>
    <t>2004-19</t>
  </si>
  <si>
    <t>Emprego; estado; indústria; política pública.</t>
  </si>
  <si>
    <t>Luís Antônio dos Santos Farias</t>
  </si>
  <si>
    <t>2004-20</t>
  </si>
  <si>
    <t>Finanças Públicas</t>
  </si>
  <si>
    <t>Receitas tributárias, finanças públicas, funções do Estado, crise cacaueira.</t>
  </si>
  <si>
    <t>Marilene Ferreira da Silva</t>
  </si>
  <si>
    <t>2004-21</t>
  </si>
  <si>
    <t>Revolução Verde. Financiamento Produtivo. Cooperativismo Agrícola.</t>
  </si>
  <si>
    <t>Danielle Viana de Araujo</t>
  </si>
  <si>
    <t>2004-22</t>
  </si>
  <si>
    <t xml:space="preserve">Quebra de monopólio; abertura de capital; crescimento econômico; produção; custos.  </t>
  </si>
  <si>
    <t>Bárbara Pereira Silva</t>
  </si>
  <si>
    <t>Gustavo Joaquim Lisboa</t>
  </si>
  <si>
    <t>2004-23</t>
  </si>
  <si>
    <t>Sazonalidade; Centro de Convenções; Oferta Turística.</t>
  </si>
  <si>
    <t>Vinícius Araújo Brito</t>
  </si>
  <si>
    <t>Thiana de Souza Cairo</t>
  </si>
  <si>
    <t>2004-24</t>
  </si>
  <si>
    <t>Economia de Serviços</t>
  </si>
  <si>
    <r>
      <rPr>
        <rFont val="Arial"/>
        <color theme="1"/>
        <sz val="11.0"/>
      </rPr>
      <t xml:space="preserve">Comércio tradicional – </t>
    </r>
    <r>
      <rPr>
        <rFont val="Arial"/>
        <i/>
        <color theme="1"/>
        <sz val="11.0"/>
      </rPr>
      <t>Shopping</t>
    </r>
    <r>
      <rPr>
        <rFont val="Arial"/>
        <color theme="1"/>
        <sz val="11.0"/>
      </rPr>
      <t xml:space="preserve"> – Varejo – Revitalização.</t>
    </r>
  </si>
  <si>
    <t>Vanessa Evangelista dos Santos</t>
  </si>
  <si>
    <t>Andréa da Silva Gomes</t>
  </si>
  <si>
    <t>2004-25</t>
  </si>
  <si>
    <t>Microeconomia</t>
  </si>
  <si>
    <t>Consumidor; renda; preço; feira.</t>
  </si>
  <si>
    <t>Iran Falcão Costa Júnior</t>
  </si>
  <si>
    <t xml:space="preserve">Paulo Eduardo Santana da Silva </t>
  </si>
  <si>
    <t>2004-26</t>
  </si>
  <si>
    <t xml:space="preserve">Seringueira, borracha, látex, viabilidade financeira, produção e sistemas agroflorestais. </t>
  </si>
  <si>
    <t>Fabiana Silva Lima</t>
  </si>
  <si>
    <t>João Manuel Afonso</t>
  </si>
  <si>
    <t>2004-27</t>
  </si>
  <si>
    <t>Turismo. Qualificação de mão-de-obra. Meios de Hospedagem.</t>
  </si>
  <si>
    <t>Alline Oliveira Guerreiro</t>
  </si>
  <si>
    <t>2004-28</t>
  </si>
  <si>
    <t>Turismo; turista; Itacaré; planejamento estratégico; infra-estrutura</t>
  </si>
  <si>
    <t>Michella Rodrigues de Souza</t>
  </si>
  <si>
    <t>2004-29</t>
  </si>
  <si>
    <t>Assentamento Rural. Reforna Agrária.</t>
  </si>
  <si>
    <t>Raquel Silva Rocha</t>
  </si>
  <si>
    <t>2004-30</t>
  </si>
  <si>
    <r>
      <rPr>
        <rFont val="Arial"/>
        <color theme="1"/>
        <sz val="11.0"/>
      </rPr>
      <t xml:space="preserve">Plano Real; leite; </t>
    </r>
    <r>
      <rPr>
        <rFont val="Arial"/>
        <i/>
        <color theme="1"/>
        <sz val="11.0"/>
      </rPr>
      <t>in natura</t>
    </r>
    <r>
      <rPr>
        <rFont val="Arial"/>
        <color theme="1"/>
        <sz val="11.0"/>
      </rPr>
      <t>; estabilidade; produtividade; crescimento.</t>
    </r>
  </si>
  <si>
    <t>Alexsandro Sampaio Souza</t>
  </si>
  <si>
    <t>2004-31</t>
  </si>
  <si>
    <t>Economia do Bem Estar</t>
  </si>
  <si>
    <t>Renda, aposentados, nível de vida</t>
  </si>
  <si>
    <t>Lindicelma Almeida dos Santos</t>
  </si>
  <si>
    <t>Marcos Silva Santos</t>
  </si>
  <si>
    <t>2005-01</t>
  </si>
  <si>
    <t>Infra-estrutura; Impactos; População; Turismo.</t>
  </si>
  <si>
    <t>Adriana Andrade Souza</t>
  </si>
  <si>
    <t>2005-02</t>
  </si>
  <si>
    <t>Viabilidade Financeira. Custos de produção. Produção de Medicamentos.</t>
  </si>
  <si>
    <t>Alex Tavares Costa</t>
  </si>
  <si>
    <t>Sócrates Jacobo Moquete Guzmán</t>
  </si>
  <si>
    <t>2005-03</t>
  </si>
  <si>
    <t>Contas Públicas, Receitas, Despesas, Tributos, Taxas, Estado, União, Responsabilidade Fiscal, Autonomia, Município</t>
  </si>
  <si>
    <t>Givanildo Modesto Sertório De Souza</t>
  </si>
  <si>
    <t>2005-04</t>
  </si>
  <si>
    <t>Cooperativismo, análise de Balanços, eficiência financeira</t>
  </si>
  <si>
    <t>Priscilla Morais Trindade</t>
  </si>
  <si>
    <t>2005-05</t>
  </si>
  <si>
    <t>Estatuto da Cidade, Lei de Responsabilidade Fiscal, receita própria, IPTU, progressividade.</t>
  </si>
  <si>
    <t>Karina Peruzzo da Costa</t>
  </si>
  <si>
    <t>Carlos Valder do Nascimento</t>
  </si>
  <si>
    <t>2005-06</t>
  </si>
  <si>
    <t>História do Pensamento Econômico</t>
  </si>
  <si>
    <t xml:space="preserve">Racionalidade, positivismo, ciência exata, ciência social, expectativas, incerteza e irreversibilidade do tempo. </t>
  </si>
  <si>
    <t>Nerivaldo Honorato Da Cruz Santos</t>
  </si>
  <si>
    <t>Pedro Lopes Marinho</t>
  </si>
  <si>
    <t xml:space="preserve">Trabalho informal. Desemprego. </t>
  </si>
  <si>
    <t>Juliana Britto Campos</t>
  </si>
  <si>
    <t>Raimunda Silva d’ Alencar</t>
  </si>
  <si>
    <t>2005-08</t>
  </si>
  <si>
    <t>Macroeconomia</t>
  </si>
  <si>
    <t>Macroeconomia, Economia Clássica, Economia Neoclássica, Economia Monetarista, Economia Novo - Clássica, Economia Nova – Keynesiana e Economia Pós – Keynesiana.</t>
  </si>
  <si>
    <t>Raul Almeida da Paz</t>
  </si>
  <si>
    <t>Jorge Miguel Cardoso Ribeiro de Jesus</t>
  </si>
  <si>
    <t>2005-09</t>
  </si>
  <si>
    <t>Urbanização, industrialização, rejeito ou resíduo, meio-ambiente, reciclagem, desenvolvimento sustentável, desemprego, trabalho, badameiro, exclusão social.</t>
  </si>
  <si>
    <t>Norma Oliveira dos Santos</t>
  </si>
  <si>
    <t>2005-10</t>
  </si>
  <si>
    <t>Pet shop, projeto e viabilidade.</t>
  </si>
  <si>
    <t>José Reinan Santos Silva</t>
  </si>
  <si>
    <t>2005-11</t>
  </si>
  <si>
    <t>Lei de Engel, serviços, modernização, bens superiores.</t>
  </si>
  <si>
    <t>Maria Sandra Andrade Santos</t>
  </si>
  <si>
    <t>Elson Cedro Mira</t>
  </si>
  <si>
    <t>2005-12</t>
  </si>
  <si>
    <t>Habitação de interesse social; déficit habitacional de Itabuna; favelas; espaço urbano; dinâmica populacional;</t>
  </si>
  <si>
    <t>Florisvaldo Damascena Santana</t>
  </si>
  <si>
    <t>Omar Santos Costa</t>
  </si>
  <si>
    <t>2005-13</t>
  </si>
  <si>
    <t>Política econômica; Plano Salte; Estado; industrialização; crescimento; emprego; inflação.</t>
  </si>
  <si>
    <t>Jamerson Luís França Merlo</t>
  </si>
  <si>
    <t>2005-14</t>
  </si>
  <si>
    <t>Credibilidade; política monetária; metas de inflação.</t>
  </si>
  <si>
    <t>Joscélia Ferreira do Amaral</t>
  </si>
  <si>
    <t>2005-15</t>
  </si>
  <si>
    <t>Propensão Marginal a Consumir; M1, M2, M3, M4, Plano Real, Taxa de Juros, Depósitos compulsórios, Poupança, Investimento.</t>
  </si>
  <si>
    <t>Márcio Fabrízio Siqueira Barbosa</t>
  </si>
  <si>
    <t>2005-16</t>
  </si>
  <si>
    <t>Economia Regional</t>
  </si>
  <si>
    <t>Região Cacaueira da Bahia; elite regional; cacau.</t>
  </si>
  <si>
    <t>Danilo Gardel Amorim Novais</t>
  </si>
  <si>
    <t>2005-17</t>
  </si>
  <si>
    <t>Demanda por moeda, teoria dos estoques, teoria da seleção de carteiras, teoria quantitativa da moeda, eslasticidade-renda da demanda por moeda, taxa de juros, nível de preços.</t>
  </si>
  <si>
    <t>Rodrigo Almeida Lima Oliveira</t>
  </si>
  <si>
    <t>Henrique Tomé da Costa Mata</t>
  </si>
  <si>
    <t>2005-18</t>
  </si>
  <si>
    <t>Avestruz, Carne, couro, plumas, viabilidade econômico financeira.</t>
  </si>
  <si>
    <t>Wagner de Oliveira Matos</t>
  </si>
  <si>
    <t>Almir Martins dos Santos</t>
  </si>
  <si>
    <t>2005-19</t>
  </si>
  <si>
    <t>Economia e Métodos Científicos</t>
  </si>
  <si>
    <t>Métodos Científicos. Desenvolvimento Científico.</t>
  </si>
  <si>
    <t>Susi Silva Santos</t>
  </si>
  <si>
    <t>2005-20</t>
  </si>
  <si>
    <t>Economia Informal</t>
  </si>
  <si>
    <t>Economia Informal, informalidade, sacoleira (o) de vestuário.</t>
  </si>
  <si>
    <t>Marcos Lacerda de Souza</t>
  </si>
  <si>
    <t>2005-21</t>
  </si>
  <si>
    <t>Cesta básica; salário mínimo; Itabuna; Ilhéus.</t>
  </si>
  <si>
    <t>Joabson Silva Santos</t>
  </si>
  <si>
    <t>2005-22</t>
  </si>
  <si>
    <t>Menor, iniciação profissional, educação, saúde e renda.</t>
  </si>
  <si>
    <t>Luciano dos Santos Farias</t>
  </si>
  <si>
    <t>Eurisa Maria de Santana</t>
  </si>
  <si>
    <t>2005-23</t>
  </si>
  <si>
    <t>Cotonicultura; Bicudo; Economia da Produção.</t>
  </si>
  <si>
    <t>Roberta da Silva Barros</t>
  </si>
  <si>
    <t>2005-24</t>
  </si>
  <si>
    <t xml:space="preserve">Setor Industrial Madeireiro; Mata Atlântica; Políticas Ambientais; Geração de Emprego e Renda.   </t>
  </si>
  <si>
    <t>Valter Andrade da Silva Junior</t>
  </si>
  <si>
    <t>2005-25</t>
  </si>
  <si>
    <t>Viabilidade econômico-financeira; flores tropicais.</t>
  </si>
  <si>
    <t>Kleber Almeida de Souza</t>
  </si>
  <si>
    <t>2005-26</t>
  </si>
  <si>
    <t xml:space="preserve">Políticas monetárias; neutralidade; não-neutralidade; Clássicos; Keynes; Keynesianos; Monetaristas; Novos Clássicos; e Pós-Keynesianos. </t>
  </si>
  <si>
    <t>Angye Cássia Noia</t>
  </si>
  <si>
    <t>2005-27</t>
  </si>
  <si>
    <t>Formação Econômica do Brasil</t>
  </si>
  <si>
    <t>Desenvolvimento; subdesenvolvimento; desenvolvimento econômico; liberalismo, desenvolvimentismo, industrialização; Estado.</t>
  </si>
  <si>
    <t>Ana Paula dos Santos</t>
  </si>
  <si>
    <t xml:space="preserve">Zilney Matos de Almeida </t>
  </si>
  <si>
    <t>2005-28</t>
  </si>
  <si>
    <t>Turismo, desenvolvimento sustentável, ecoturismo, APA, consciência ambiental.</t>
  </si>
  <si>
    <t>Ana Clécia Bomfim Oliveira</t>
  </si>
  <si>
    <t>2005-29</t>
  </si>
  <si>
    <t>Turismo; Terceira Idade; Qualidade de vida.</t>
  </si>
  <si>
    <t xml:space="preserve">Jamile Melo de Oliveira </t>
  </si>
  <si>
    <t>Elenildes Santana Pereira</t>
  </si>
  <si>
    <t>2005-30</t>
  </si>
  <si>
    <t>Cupuaçu; comercialização; agentes; canais; margens.</t>
  </si>
  <si>
    <t>Ana Paula Santos</t>
  </si>
  <si>
    <t>2005-31</t>
  </si>
  <si>
    <t>Renda, comerciários, alimentação alternativa.</t>
  </si>
  <si>
    <t>Eleonor da Silva Borges</t>
  </si>
  <si>
    <t>2005-32</t>
  </si>
  <si>
    <t>Economia Internacional</t>
  </si>
  <si>
    <t>Exportações, taxa de câmbio.</t>
  </si>
  <si>
    <t>Kleber Alessandro Pinto Macedo</t>
  </si>
  <si>
    <t>2005-33</t>
  </si>
  <si>
    <t>Turismo; meios de hospedagem; multiplicador keynesiano.</t>
  </si>
  <si>
    <t>Flávia Pereira Leal</t>
  </si>
  <si>
    <t>2005-34</t>
  </si>
  <si>
    <t>Canais de comercialização; pólen apícola; cooperativa; produtores; indústrias.</t>
  </si>
  <si>
    <t>Iracema Conceição Silva Prata</t>
  </si>
  <si>
    <t>2005-35</t>
  </si>
  <si>
    <t>Evolução, Concepções Filosóficas, Escola Clássica e Neoclássica, Teoria Quantitativa da Moeda, Monetarismo.</t>
  </si>
  <si>
    <t>Sérgio Santos Ribeiro</t>
  </si>
  <si>
    <t>2005-36</t>
  </si>
  <si>
    <t>Sociologia</t>
  </si>
  <si>
    <t>Burocracia, Burocratismo, Organizações.</t>
  </si>
  <si>
    <t>Sayonara Silva Santana</t>
  </si>
  <si>
    <t>Maria Luíza Silva Santos</t>
  </si>
  <si>
    <t>2005-37</t>
  </si>
  <si>
    <t>Mamão, produtividade, exportação, mercado externo.</t>
  </si>
  <si>
    <t>Lucielia Santos Dias</t>
  </si>
  <si>
    <t>2005-38</t>
  </si>
  <si>
    <t xml:space="preserve">Multiplicador Econômico; Meios de hospedagem; Turismo </t>
  </si>
  <si>
    <t>Susany Sales Brandão</t>
  </si>
  <si>
    <t>2005-39</t>
  </si>
  <si>
    <t>Economia Solidária</t>
  </si>
  <si>
    <t>Cooperativismo; educação; doutrinas; princípios.</t>
  </si>
  <si>
    <t>Elizabete Santos Queiroz</t>
  </si>
  <si>
    <t>2005-40</t>
  </si>
  <si>
    <t>Escolaridade; treinamento; desempenho; mão-de-obra; siderurgia.</t>
  </si>
  <si>
    <t>Carlos Hagis Daneu Ortega Noriega</t>
  </si>
  <si>
    <t>2005-41</t>
  </si>
  <si>
    <t>Desenvolvimento Sustentável</t>
  </si>
  <si>
    <t>Bruno Bastos Ribeiro Santos</t>
  </si>
  <si>
    <t>2006-01</t>
  </si>
  <si>
    <t>Mercado de trabalho; comércio informal; perfil socioeconômico</t>
  </si>
  <si>
    <t>Maria de Magdala Lyrio da Silva</t>
  </si>
  <si>
    <t>2006-02</t>
  </si>
  <si>
    <t xml:space="preserve">Desemprego, seguro desemprego, renda, perfil.                                                     </t>
  </si>
  <si>
    <t>Estefânia Cruz Vieira</t>
  </si>
  <si>
    <t>2006-03</t>
  </si>
  <si>
    <t>Formação Universitária; Emprego; Mercado de Trabalho; Egressos do Curso de Administração de Empresas.</t>
  </si>
  <si>
    <t>Francisco de Assis Soares Campos</t>
  </si>
  <si>
    <t>2006-04</t>
  </si>
  <si>
    <t>Ciência, método, neutralidade, objetividade, clássicos, Keynes, Marx, pluralismo</t>
  </si>
  <si>
    <t>Mírian Santos Marinho</t>
  </si>
  <si>
    <t>2006-05</t>
  </si>
  <si>
    <t>Terceirização; Caixa Econômica Federal; vantagens; desvantagens; efeitos multiplicadores socioeconômicos.</t>
  </si>
  <si>
    <t>Flávia Benevides Santos</t>
  </si>
  <si>
    <t>Valéria Almeida dos Santos</t>
  </si>
  <si>
    <t>Economia Industrial</t>
  </si>
  <si>
    <t xml:space="preserve">Economia da Inovação. Pólo de Informática de Ilhéus. </t>
  </si>
  <si>
    <t>Danielle Andrade Ribeiro</t>
  </si>
  <si>
    <t>Administração – Produção – Absenteísmo – Valor Trabalho.</t>
  </si>
  <si>
    <t>Iran Antunes Veiga</t>
  </si>
  <si>
    <t>Microempresa, empresa de pequeno porte, mortalidade prematura, taxas de mortalidade, técnicas administrativas</t>
  </si>
  <si>
    <t>Lindiane Freitas dos Santos</t>
  </si>
  <si>
    <t>Juracy Martins Santana</t>
  </si>
  <si>
    <t>Desconcentração, atividade produtiva, continuidade.</t>
  </si>
  <si>
    <t>Claudia Maria Amado de Souza</t>
  </si>
  <si>
    <t>Teoria Econômica</t>
  </si>
  <si>
    <t>Teoria do Valor, Valor de Uso, Valor de Troca,Valor-Trabalho, Valor-Utilidade, Marginalismo.</t>
  </si>
  <si>
    <t>Alexnaldo Oliveira de Góes</t>
  </si>
  <si>
    <t>Agronegócio, desenvolvimento econômico, desenvolvimento sustentável, Inaceres</t>
  </si>
  <si>
    <t>João Pereira da Silva Júnior</t>
  </si>
  <si>
    <t>Desenvolvimento; sustentabilidade; educação ambiental.</t>
  </si>
  <si>
    <t>Danielle Sérgia Cupertino</t>
  </si>
  <si>
    <t>Padronização; certificação ISO; qualidade, prestação de serviços</t>
  </si>
  <si>
    <t>Izabela do Vale Ferraz</t>
  </si>
  <si>
    <t>Samuel Leandro Oliveira de Mattos</t>
  </si>
  <si>
    <t>Gestão Ambiental; Sustentabilidade; e, Planejamento Local.</t>
  </si>
  <si>
    <t>Claudiano Carneiro da Cruz Neto</t>
  </si>
  <si>
    <t>Roberto da Costa e Silva Mendonça</t>
  </si>
  <si>
    <t>Teoria Quantitativa da Moeda (TQM), moeda, política monetária, regra, inflação.</t>
  </si>
  <si>
    <t>Vivian Oliveira Santos</t>
  </si>
  <si>
    <t xml:space="preserve">Jorge Miguel Cardoso Ribeiro de Jesus </t>
  </si>
  <si>
    <t>Multiplicador Econômico; meios de hospedagem; turismo.</t>
  </si>
  <si>
    <t>Roberta Batista Santos</t>
  </si>
  <si>
    <t>Mata-atlântica, meio ambiente, degradação, impacto ambiental e econômico.</t>
  </si>
  <si>
    <t>Lívia Moura Caires</t>
  </si>
  <si>
    <t>Amarildo José Morett</t>
  </si>
  <si>
    <t>Viabilidade econômica, TIR, Reciclagem</t>
  </si>
  <si>
    <t>Evenilson Santos Silva</t>
  </si>
  <si>
    <t>Biocombustível, viabilidade, análise de sensibilidade.</t>
  </si>
  <si>
    <t>Geovânia Silva de Sousa</t>
  </si>
  <si>
    <t>Orçamento; Finanças; Município; Receitas; Despesas.</t>
  </si>
  <si>
    <t>Ailton Esteves Santos</t>
  </si>
  <si>
    <t>Economia Regional e Urbana</t>
  </si>
  <si>
    <t>Política Econômica – Planejamento Econômico - Política Regional – Desenvolvimento Regional – Renúncias Fiscais.</t>
  </si>
  <si>
    <t>Rondineli Santos de Caldas</t>
  </si>
  <si>
    <t>Desemprego; mercado de trabalho; política neoliberal; abertura comercial; privatização; reestruturação tecnológica; trabalho informal; evolução do rendimento.</t>
  </si>
  <si>
    <t>Débora Lisboa de Carvalho Lelis</t>
  </si>
  <si>
    <t>Software livre; economia; redução de custo; viabilidade econômica; benefícios sociais.</t>
  </si>
  <si>
    <t>Luiz Antonio do Amaral Raffaele</t>
  </si>
  <si>
    <t xml:space="preserve">Aquecimento solar.   </t>
  </si>
  <si>
    <t>Antonio Carlos Gomes de Amorim Messias</t>
  </si>
  <si>
    <t>Economia Institucional</t>
  </si>
  <si>
    <t>Instituições, interdisciplinaridade, empirismo, mercado, firmas e desenvolvimento.</t>
  </si>
  <si>
    <t>Leandro de Souza Ferreira</t>
  </si>
  <si>
    <t>Padrão de vida, renda, Necessidades Básicas Humanas e Pobreza</t>
  </si>
  <si>
    <t>Renan Novaes</t>
  </si>
  <si>
    <t>Cacau Fino, Cacau Orgânico, Qualidade, Beneficiamento, Comércio Justo.</t>
  </si>
  <si>
    <t>William Souza da Silva</t>
  </si>
  <si>
    <t>IBGE; DIEESE; SEADE; emprego e desemprego.</t>
  </si>
  <si>
    <t>Paula Tavares de Souza Bastos</t>
  </si>
  <si>
    <t>Carlos Henrique Leite Borges</t>
  </si>
  <si>
    <t>Sustentabilidade; dimensão econômica; crédito de carbono, aquecimento global.</t>
  </si>
  <si>
    <t>Reginaldo Barros Meira</t>
  </si>
  <si>
    <t>Integração; desregulamentação; taxas de câmbio; investimentos diretos internacionais; mercados financeiros emergentes; revolução neoliberal; abertura comercial.</t>
  </si>
  <si>
    <t>Murilo Santos Costa</t>
  </si>
  <si>
    <r>
      <rPr>
        <rFont val="Arial"/>
        <color theme="1"/>
        <sz val="11.0"/>
      </rPr>
      <t xml:space="preserve">Turismo, efeitos sazonais, meios de hospedagem, </t>
    </r>
    <r>
      <rPr>
        <rFont val="Arial"/>
        <i/>
        <color theme="1"/>
        <sz val="11.0"/>
      </rPr>
      <t>trade</t>
    </r>
    <r>
      <rPr>
        <rFont val="Arial"/>
        <color theme="1"/>
        <sz val="11.0"/>
      </rPr>
      <t xml:space="preserve"> turístico.</t>
    </r>
  </si>
  <si>
    <t>Marta Virgínia Vasco Bispo</t>
  </si>
  <si>
    <t>Administração, dívida pública, PIB, déficit, superávit.</t>
  </si>
  <si>
    <t>Alexandro da Silva Vieira</t>
  </si>
  <si>
    <t>Infra-estrutura; oferta turística; perfil do turista; transporte aéreo.</t>
  </si>
  <si>
    <t>Lílian Gabriela Reis Santos Queiroz</t>
  </si>
  <si>
    <t>Dívida Pública, Estrutura da Dívida Pública Municipal, Financiamento Municipal, Programação Financeira.</t>
  </si>
  <si>
    <t>Huryck Marinho Simões</t>
  </si>
  <si>
    <r>
      <rPr>
        <rFont val="Arial"/>
        <color theme="1"/>
        <sz val="11.0"/>
      </rPr>
      <t xml:space="preserve">Consumidor, </t>
    </r>
    <r>
      <rPr>
        <rFont val="Arial"/>
        <i/>
        <color theme="1"/>
        <sz val="11.0"/>
      </rPr>
      <t>fast food</t>
    </r>
    <r>
      <rPr>
        <rFont val="Arial"/>
        <color theme="1"/>
        <sz val="11.0"/>
      </rPr>
      <t>, preferências.</t>
    </r>
  </si>
  <si>
    <t>Gedeval Souza Almeida Júnior</t>
  </si>
  <si>
    <t xml:space="preserve">Aline Conceição Souza </t>
  </si>
  <si>
    <t>Confiança; cooperação; engajamento; solidariedade.</t>
  </si>
  <si>
    <t>Wadson Campos Vieira</t>
  </si>
  <si>
    <t>Processo de substituição de importações, industrialização, crescimento econômico, desequilíbrios.</t>
  </si>
  <si>
    <t>Samanta Piovezam Esaú Buscariolli</t>
  </si>
  <si>
    <t>Balanço de pagamentos, inflação, substituição de importação, dívida externa, dependência.</t>
  </si>
  <si>
    <t>Renata Neves Rodrigues</t>
  </si>
  <si>
    <t>Inflação; Política Monetária; PIB; Liberalismo; Planos econômicos.</t>
  </si>
  <si>
    <t>Luciano Ramos Luz</t>
  </si>
  <si>
    <t>Empreendedorismo</t>
  </si>
  <si>
    <t>Seringueira, benefício-custo, borracha.</t>
  </si>
  <si>
    <t>Doranei dos Santos Costa</t>
  </si>
  <si>
    <t>Adonias de Castro Virgens Filho</t>
  </si>
  <si>
    <t>Orçamento, Finanças, Município,  Receitas, Despesas, Contribuinte, Impostos, Taxas, União, Estado.</t>
  </si>
  <si>
    <t>Edilene da Silva Santos</t>
  </si>
  <si>
    <t>Economia Rural</t>
  </si>
  <si>
    <r>
      <rPr>
        <rFont val="Arial"/>
        <color theme="1"/>
        <sz val="11.0"/>
      </rPr>
      <t xml:space="preserve">Análise </t>
    </r>
    <r>
      <rPr>
        <rFont val="Arial"/>
        <i/>
        <color theme="1"/>
        <sz val="11.0"/>
      </rPr>
      <t>SWOT,</t>
    </r>
    <r>
      <rPr>
        <rFont val="Arial"/>
        <color theme="1"/>
        <sz val="11.0"/>
      </rPr>
      <t xml:space="preserve"> embarcações, margens de comercialização, tipologia dos pescadores.</t>
    </r>
    <r>
      <rPr>
        <rFont val="Times New Roman"/>
        <color theme="1"/>
        <sz val="11.0"/>
      </rPr>
      <t xml:space="preserve"> </t>
    </r>
  </si>
  <si>
    <t>Shirley Daniele de Oliveira Franco</t>
  </si>
  <si>
    <t>Clássicos, Kalecki, Keynes, Salários.</t>
  </si>
  <si>
    <t>César de Jesus Canário</t>
  </si>
  <si>
    <t>Demanda de carne bovina; Elasticidade das variáveis.</t>
  </si>
  <si>
    <t>Carlos Augusto Carvalho de Oliveira</t>
  </si>
  <si>
    <t>Fidelização; hotéis; Itabuna; negócios; segmentação.</t>
  </si>
  <si>
    <t>Carlos Augusto Sansão</t>
  </si>
  <si>
    <t>Déficit previdenciário; Previdência Social; Benefício auxílio-doença.</t>
  </si>
  <si>
    <t>Lucigleide Ribeiro Sousa</t>
  </si>
  <si>
    <t>Extrativismo; artesanato; comercialização.</t>
  </si>
  <si>
    <t>Aniran Lins Cavalcante</t>
  </si>
  <si>
    <t>Jaênes Miranda Alves</t>
  </si>
  <si>
    <t>Sistur; Atividade Turística; Atrativos.</t>
  </si>
  <si>
    <t>Bárbara Verônica Freitas Silva Medeiros Pereira</t>
  </si>
  <si>
    <t>Turismo; residente; Infra-estrutura.</t>
  </si>
  <si>
    <t>Sueli Menezes Rodrigues</t>
  </si>
  <si>
    <t xml:space="preserve">Cooperativismo. </t>
  </si>
  <si>
    <t>Ygor dos Santos Afonso</t>
  </si>
  <si>
    <t>Turismo. Funcionários. Qualificação. Hotéis.</t>
  </si>
  <si>
    <t>Lylian Farias Menezes</t>
  </si>
  <si>
    <t>Turismo, eventos, centro de convenções.</t>
  </si>
  <si>
    <t>Jaildes Souza Santos</t>
  </si>
  <si>
    <t>Economia de Empresas</t>
  </si>
  <si>
    <t xml:space="preserve">ISO 9001. Pólo de Informática. Ilhéus. </t>
  </si>
  <si>
    <t>Kleber Ramos de Oliveira</t>
  </si>
  <si>
    <t>Valdcarlos Silva Santos</t>
  </si>
  <si>
    <t>Variação de preço, cesta básica, salário mínimo.</t>
  </si>
  <si>
    <t>Renata Serra Lopes</t>
  </si>
  <si>
    <t>Exportação – Carne bovina – Crescimento econômico.</t>
  </si>
  <si>
    <t>Carlo Rodrigo Oliveira de Queiroz</t>
  </si>
  <si>
    <t>Desemprego, Economia Informal.</t>
  </si>
  <si>
    <t>Claudemir Alves dos Santos</t>
  </si>
  <si>
    <t>Produto Interno Bruto, setores de atividades econômicas.</t>
  </si>
  <si>
    <t>Rogério Santos de Jesus</t>
  </si>
  <si>
    <t>Turismo, ecoturismo, desenvolvimento Sustentável.</t>
  </si>
  <si>
    <t>Rubens Ferreira de Andrade Júnior</t>
  </si>
  <si>
    <t>Economia de Serviço</t>
  </si>
  <si>
    <t>Qualidade de atendimento, satisfação dos clientes, Sorveteria Florença</t>
  </si>
  <si>
    <t>Aguinaldo Monteiro de Oliveira</t>
  </si>
  <si>
    <t>Política Habitacional; Déficit Habitacional; Financiamento.</t>
  </si>
  <si>
    <t>Artur Assunção da Silva Araújo</t>
  </si>
  <si>
    <t>Associação, artesanato, empreendedorismo, economia solidária</t>
  </si>
  <si>
    <t>Cintya Santos Nobre</t>
  </si>
  <si>
    <t>Inadimplência; Políticas habitacionais; Sistema Financeiro de Habitação; Aspectos culturais.</t>
  </si>
  <si>
    <t>Wilton Cavalcante Silva</t>
  </si>
  <si>
    <t>Zilney Matos de Almeida</t>
  </si>
  <si>
    <t>Renda; escolaridade; saúde; consumo; treinamento.</t>
  </si>
  <si>
    <t>Tarciso de Oliveira Pereira</t>
  </si>
  <si>
    <t>Turismo religioso; oferta; demanda</t>
  </si>
  <si>
    <t>Romeu Vieira de Novais</t>
  </si>
  <si>
    <t>Política cambial; política monetária; inflação; balanço de pagamentos.</t>
  </si>
  <si>
    <t>Paulo César Dias Santos</t>
  </si>
  <si>
    <t>Contabilidade Gerencial, processo, sistemas, informações, contábeis.</t>
  </si>
  <si>
    <t>José Marcelo Brandão Argôlo</t>
  </si>
  <si>
    <t>Paulo Sérgio Cunha de Oliveira</t>
  </si>
  <si>
    <t>Desenvolvimento Econômico, Inovação Tecnológica</t>
  </si>
  <si>
    <t>Maristela de Oliveira Lapa</t>
  </si>
  <si>
    <t xml:space="preserve">Política cambial, regime flexível </t>
  </si>
  <si>
    <t>Priscila Pires Galvão</t>
  </si>
  <si>
    <t>Patrícia Lopes Rosado</t>
  </si>
  <si>
    <t>Trabalho; renda; crescimento econômico.</t>
  </si>
  <si>
    <t>Regina de Fátima Nogueira Passos</t>
  </si>
  <si>
    <t>Setor agroindustrial, importância socioeconômica.</t>
  </si>
  <si>
    <t>Hígor Endringer Caliman</t>
  </si>
  <si>
    <t>André Ricardo Vieira de Carvalho</t>
  </si>
  <si>
    <t>Teoria do Consumidor, mercado de cervejas, motivação e preferência.</t>
  </si>
  <si>
    <t>Eduardo Araujo Bahia Junior</t>
  </si>
  <si>
    <t>Capital humano; educação; qualificação; produtividade.</t>
  </si>
  <si>
    <t>Carlos Roberto Alves</t>
  </si>
  <si>
    <t>Crescimento endógeno; capital humano; concentração de renda.</t>
  </si>
  <si>
    <t>Andreza Dourado Pereira</t>
  </si>
  <si>
    <t>Margem total; canais de comercialização; intermediação.</t>
  </si>
  <si>
    <t>Jefferson Correia da Rocha</t>
  </si>
  <si>
    <t>Economia informal, desemprego, condições de vida.</t>
  </si>
  <si>
    <t>Jucilândio Dias de Sousa</t>
  </si>
  <si>
    <t>Mercado de trabalho, sobrevivência, setor de serviços, trabalhador por conta própria.</t>
  </si>
  <si>
    <t>Adriana Gonçalves da Silva Santos</t>
  </si>
  <si>
    <t>Desenvolvimento; valoração ambiental; valoração sentimental; individualismo.</t>
  </si>
  <si>
    <t>Jacqueline de Jesus Damaceno</t>
  </si>
  <si>
    <t>Crescimento Econômico; economia chinesa; reformas econômicas; socialismo de mercado.</t>
  </si>
  <si>
    <t>Alan Anderson Rodrigues de Souza Corrêa</t>
  </si>
  <si>
    <t>Associativismo; desenvolvimento econômico; crescimento econômico</t>
  </si>
  <si>
    <t>Gislan Santos Sampaio</t>
  </si>
  <si>
    <r>
      <rPr>
        <rFont val="Arial"/>
        <color theme="1"/>
        <sz val="11.0"/>
      </rPr>
      <t xml:space="preserve">Inflação, recessão, estabilização econômica, </t>
    </r>
    <r>
      <rPr>
        <rFont val="Arial"/>
        <i/>
        <color theme="1"/>
        <sz val="11.0"/>
      </rPr>
      <t>impeachment</t>
    </r>
    <r>
      <rPr>
        <rFont val="Arial"/>
        <color theme="1"/>
        <sz val="11.0"/>
      </rPr>
      <t>.</t>
    </r>
  </si>
  <si>
    <t>Karla dos Santos Menezes</t>
  </si>
  <si>
    <t>Maria Bernadete Pereira Bezerra</t>
  </si>
  <si>
    <t>Auditor; tributação; arrecadação; receitas públicas.</t>
  </si>
  <si>
    <t>Mercya Vieira Souza</t>
  </si>
  <si>
    <t>Harrison Ferreira Leite</t>
  </si>
  <si>
    <t>Gasto Público; Receita Total e PIB – Produto Interno Bruto.</t>
  </si>
  <si>
    <t>Milena Santos Figueiredo</t>
  </si>
  <si>
    <t xml:space="preserve">Economia de serviços; qualidade em serviços; inovação tecnológica; reestruturação produtiva. </t>
  </si>
  <si>
    <t>Luana Pereira Fernandes</t>
  </si>
  <si>
    <t>Bahia; desenvolvimento econômico; crescimento econômico.</t>
  </si>
  <si>
    <t>Jessyca do Nascimento</t>
  </si>
  <si>
    <t>Economia Informal, Empreendedor informal, Crise da lavoura cacaueira.</t>
  </si>
  <si>
    <t>Diego Fernando Oliveira Santana</t>
  </si>
  <si>
    <t>Economia de serviços; qualidade em serviços; inovação tecnológica; sistema financeiro.</t>
  </si>
  <si>
    <t>Tatiana Souza</t>
  </si>
  <si>
    <t>Empregos; funcionários; perfil social; renda; Veracel.</t>
  </si>
  <si>
    <t>Flávia Nunes Lima</t>
  </si>
  <si>
    <t>Produção orgânica, demanda de hortaliças orgânicas, comportamento do consumidor, perfil do consumidor, Teoria do Consumidor.</t>
  </si>
  <si>
    <t>Raquel Barbosa Nogueira</t>
  </si>
  <si>
    <t>Reforma agrária, agricultura familiar, MST, assentamento.</t>
  </si>
  <si>
    <t>Cíntia Cristina Alves Silva</t>
  </si>
  <si>
    <t>ICB; CEPLAC; Economia Cacaueira; Intervenção Estatal.</t>
  </si>
  <si>
    <t>Elane da Silva Oliveira</t>
  </si>
  <si>
    <t>Progresso tecnológico, mercado de trabalho, emprego, sobrevivência.</t>
  </si>
  <si>
    <t>Gerson Gomes de Sousa Neto</t>
  </si>
  <si>
    <t>Mercado; exportação; concorrência.</t>
  </si>
  <si>
    <t>Vitória Daniela da Silva Santos</t>
  </si>
  <si>
    <t>Reestruturação, inflação, sistema financeiro, PROER.</t>
  </si>
  <si>
    <t>Luiz Fernando Peregrina Buscariolli</t>
  </si>
  <si>
    <t>Descentralização; SUS; Financiamentos.</t>
  </si>
  <si>
    <t>Edy Carlos Oliveira dos Santos</t>
  </si>
  <si>
    <t>Cartões eletrônicos, teoria da renda.</t>
  </si>
  <si>
    <t>João Ricardo Gresik Santos</t>
  </si>
  <si>
    <t>Geórgia Cristina Neves Couto</t>
  </si>
  <si>
    <t xml:space="preserve">Crédito consignado. Consumo. </t>
  </si>
  <si>
    <t>Vitor Manoel Augusto dos Santos Junior</t>
  </si>
  <si>
    <t>Cooperativismo, Associativismo, Pescadores.</t>
  </si>
  <si>
    <t>Girlene Jesus das Virgens</t>
  </si>
  <si>
    <t xml:space="preserve">Fernando Rios do Nascimento    </t>
  </si>
  <si>
    <t>FPM, finanças públicas, déficits.</t>
  </si>
  <si>
    <t>Luis Henrique Santos Nogueira</t>
  </si>
  <si>
    <t xml:space="preserve">Desemprego; mercado de trabalho. </t>
  </si>
  <si>
    <t>Fabiane Jesus Santos</t>
  </si>
  <si>
    <t>Biocombustível; Dendê; Biodiesel.</t>
  </si>
  <si>
    <t>Márcia Goretti Loyola Dos Santos</t>
  </si>
  <si>
    <t>Turismo; comunidade local; infra-estrutura; oferta turística; atrativos.</t>
  </si>
  <si>
    <t>Kleber Dioney Ferreira de Araújo</t>
  </si>
  <si>
    <t>Década de 80; Crise; Inflação.</t>
  </si>
  <si>
    <t>Joeliton Brasil Vieira</t>
  </si>
  <si>
    <t>Passifloracea; produção; sazonalidade; viabilidade financeira; função de oferta.</t>
  </si>
  <si>
    <t>Leonardo Ventura de Araujo</t>
  </si>
  <si>
    <t>Demanda turística, oferta turística.</t>
  </si>
  <si>
    <t>Marlei Silva Gomes</t>
  </si>
  <si>
    <t>Economia de Serviços; Taxa de juros; Comportamento do Consumidor.</t>
  </si>
  <si>
    <t>Poliane da Silva Santos</t>
  </si>
  <si>
    <t>Luciano Carlos Vital de Mattos</t>
  </si>
  <si>
    <t>Piscicultura, policultivo, viabilidade e produção.</t>
  </si>
  <si>
    <t xml:space="preserve">Cleonice Freire da Silva </t>
  </si>
  <si>
    <t>Turismo rural; turismo cultural; fazendas de cacau; espaço rural.</t>
  </si>
  <si>
    <t>Wendell Castro de Souza</t>
  </si>
  <si>
    <t xml:space="preserve">Demanda turística; oferta turística; sustentabilidade; turismo sustentável. </t>
  </si>
  <si>
    <t>Gean Luiz Carneiro Santos</t>
  </si>
  <si>
    <t>Dendê, estrutura de mercado, desenvolvimento regional, análise diagnóstica de sistemas agrários.</t>
  </si>
  <si>
    <t>Roberto Rodrigues Novais Júnior</t>
  </si>
  <si>
    <t>Responsabilidade social empresarial; estratégias; desenvolvimento econômico; competitividade.</t>
  </si>
  <si>
    <t>Laura Angnes</t>
  </si>
  <si>
    <t>Resíduos; catadores; políticas públicas; desenvolvimento sustentável; degradação ambiental.</t>
  </si>
  <si>
    <t>Fernanda Marinho Magalhães</t>
  </si>
  <si>
    <t>João Carlos de Pádua Andrade</t>
  </si>
  <si>
    <t>Inovação, desenvolvimento econômico, mudança tecnológica.</t>
  </si>
  <si>
    <t>Gineton da Silva Batista</t>
  </si>
  <si>
    <t>Crescimento Econômico</t>
  </si>
  <si>
    <t>Crescimento econômico – keynesianos – neoclássicos – crescimento endógeno – Paul Romer</t>
  </si>
  <si>
    <t>Rondinelle Pereira Santos</t>
  </si>
  <si>
    <t>Plano Real; juros; demanda agregada; crescimento.</t>
  </si>
  <si>
    <t>Michelli da Silva Santana</t>
  </si>
  <si>
    <t>Tarciane Oliveira Soares</t>
  </si>
  <si>
    <t>Irrigação; agricultura; desenvolvimento; população.</t>
  </si>
  <si>
    <t>Bruna Soares Santos</t>
  </si>
  <si>
    <t>Despesas por categoria, capacidade de investimento, administração, crescimento econômico e infra-estrutura urbana.</t>
  </si>
  <si>
    <t>Ana Carla Batista Da Silva</t>
  </si>
  <si>
    <t>Modalidades turísticas; comunidade; produto turístico.</t>
  </si>
  <si>
    <t>Nataly Ferreira Longuinho</t>
  </si>
  <si>
    <t>Rima Decorações. TIR. CMPC.</t>
  </si>
  <si>
    <t>Érika Pereira Berbert de Carvalho</t>
  </si>
  <si>
    <t>Desemprego, inflação, juros, crescimento.</t>
  </si>
  <si>
    <t>Marcos Vinicius D’el Rei Dattoli</t>
  </si>
  <si>
    <t>Teoria do Consumidor, utilidade cardinal, regressão linear simples.</t>
  </si>
  <si>
    <t>Jorge Carlos Rosa de Souza Magalhães</t>
  </si>
  <si>
    <t>Industrialização; Intervenção estatal; Investimento; Emprego; Política Economia.</t>
  </si>
  <si>
    <t>Adriano Tavares dos Santos</t>
  </si>
  <si>
    <t xml:space="preserve">Plano real. Inflação. Indicadores econômicos. Estabilização. </t>
  </si>
  <si>
    <t>Lorena Prado Pinheiro</t>
  </si>
  <si>
    <t>Gastos públicos; gastos sociais; políticas sociais; finanças públicas.</t>
  </si>
  <si>
    <t>Simone Simon</t>
  </si>
  <si>
    <t>Qualificação da mão-de-obra, bares e restaurantes, atividade turística.</t>
  </si>
  <si>
    <t>Andréia Fernandes Costa</t>
  </si>
  <si>
    <t>Contas Públicas, Receitas, Despesas, Tributos, Taxas, União, Responsabilidade Fiscal, Autonomia.</t>
  </si>
  <si>
    <t>Otávio Moreira do Carmo Júnior</t>
  </si>
  <si>
    <t>Jeandro Laytynher Ribeiro</t>
  </si>
  <si>
    <t>Fernando Rios do Nascimento</t>
  </si>
  <si>
    <t>Economia do Setor Público.</t>
  </si>
  <si>
    <t>políticas sociais, Programa Bolsa Família, transferências constitucionais, receitas próprias.</t>
  </si>
  <si>
    <t>Tiago Melo da Costa</t>
  </si>
  <si>
    <t>Sócrates Jacobo Moquete Guzman</t>
  </si>
  <si>
    <t>Federalismo fiscal; Arrecadação; Transferências Constitucionais; Autonomia fiscal; Cooperação econômica</t>
  </si>
  <si>
    <t>Leandro da Silva Pereira Santos</t>
  </si>
  <si>
    <t>CEPAL, América Latina, economia brasileira</t>
  </si>
  <si>
    <t>Roquexisley Campos da Silva</t>
  </si>
  <si>
    <t>Políticas econômicas, intervenção estatal.</t>
  </si>
  <si>
    <t xml:space="preserve">Débora Pereira Cidade </t>
  </si>
  <si>
    <t>Mercado e Comercialização</t>
  </si>
  <si>
    <r>
      <rPr>
        <rFont val="Arial"/>
        <color theme="1"/>
        <sz val="11.0"/>
      </rPr>
      <t xml:space="preserve">Mercado de </t>
    </r>
    <r>
      <rPr>
        <rFont val="Arial"/>
        <i/>
        <color theme="1"/>
        <sz val="11.0"/>
      </rPr>
      <t>surfwear. C</t>
    </r>
    <r>
      <rPr>
        <rFont val="Arial"/>
        <color theme="1"/>
        <sz val="11.0"/>
      </rPr>
      <t>omercialização. Perfil do consumidor.</t>
    </r>
  </si>
  <si>
    <t>Clara Clarice Lima Souto Silva</t>
  </si>
  <si>
    <t>Formalidade; informalidade; turismo; remuneração; qualificação</t>
  </si>
  <si>
    <t>Fernanda Santos Feitosa</t>
  </si>
  <si>
    <r>
      <rPr>
        <rFont val="Arial"/>
        <color theme="1"/>
        <sz val="11.0"/>
      </rPr>
      <t>Comércio internacional, bolsa de mercadorias,</t>
    </r>
    <r>
      <rPr>
        <rFont val="Arial"/>
        <color rgb="FF000000"/>
        <sz val="11.0"/>
      </rPr>
      <t xml:space="preserve"> preço de cacau e câmbio</t>
    </r>
  </si>
  <si>
    <t>Fabrício Rios Nascimento Santos</t>
  </si>
  <si>
    <t>Consumidores, Compra, Teoria do Consumidor, Segurança Alimentar, Satisfação.</t>
  </si>
  <si>
    <t>Eliane Silva Farias</t>
  </si>
  <si>
    <t>Tributos, cesta básica e desigualdades sociais</t>
  </si>
  <si>
    <t>Taiane Ferreira Souza</t>
  </si>
  <si>
    <t>Pablo Roberto de Assis</t>
  </si>
  <si>
    <t>Meio Ambiente, impactos ambientais, desenvolvimento sustentável e valoração ambiental</t>
  </si>
  <si>
    <t>Mariângela Oliveira Gomes</t>
  </si>
  <si>
    <t>Teoria do consumidor, informalidade, decisão de compra</t>
  </si>
  <si>
    <t>Shirley Katiuscia Oliveira de Souza</t>
  </si>
  <si>
    <t>Arrecadação dos Tributos, crescimento econômico, evolução da Carga Tributária, PIB</t>
  </si>
  <si>
    <t xml:space="preserve">Mateus Nunes Menezes </t>
  </si>
  <si>
    <t>Just-in-time; internacionalização; emprego industrial; subcontratação; Política tecnológica</t>
  </si>
  <si>
    <t>Noel Calasans dos Santos Júnior</t>
  </si>
  <si>
    <t>ICMS-E; distribuição do ICMS; critério ambiental; Unidades de conservação; Compensação tributária</t>
  </si>
  <si>
    <t>Rozania Pinto da Silva</t>
  </si>
  <si>
    <t>Padrão-ouro, balanço de pagamentos, movimentos de capitais e taxa de câmbios.</t>
  </si>
  <si>
    <t>Ana Grasielle Nervino Costa</t>
  </si>
  <si>
    <t>Pensamento Liberal, Economia, Brasil, Eugênio Gudin, Roberto Campos, Gustavo Franco</t>
  </si>
  <si>
    <t>Fabrício Souza Lobo</t>
  </si>
  <si>
    <t>Oferta Turística, Demanda Turística, Planejamento Turístico.</t>
  </si>
  <si>
    <t>Denyson Ribeiro Santos</t>
  </si>
  <si>
    <t>Qualidade do serviço; perfil do usuário; transporte público; satisfação do usuário.</t>
  </si>
  <si>
    <t>Diego Ramos Silva</t>
  </si>
  <si>
    <t>Moema Maria Badaró Cartibani Midlej</t>
  </si>
  <si>
    <t>Participação popular, orçamento público, orçamento participativo.</t>
  </si>
  <si>
    <t>Albenice da Silva Pinho Rosa</t>
  </si>
  <si>
    <t>Capacitação; qualificação, satisfação do consumidor; turismo.</t>
  </si>
  <si>
    <t>Anne Salém Souza dos Reis</t>
  </si>
  <si>
    <r>
      <rPr>
        <rFont val="Arial"/>
        <color theme="1"/>
        <sz val="11.0"/>
      </rPr>
      <t>Mata ciliar, meio ambiente, viabilidade, sustentabilidade, oportunidade, econômica, custos, pecuária, recuperação, área, recurso, rio</t>
    </r>
    <r>
      <rPr>
        <rFont val="Times New Roman"/>
        <color theme="1"/>
        <sz val="11.0"/>
      </rPr>
      <t xml:space="preserve">. </t>
    </r>
  </si>
  <si>
    <t>Antonio Silvio de Souza Mendonça</t>
  </si>
  <si>
    <t>Raimundo Jorge Zumaêta Costa</t>
  </si>
  <si>
    <t>Demonstrações Financeiras; Economia Brasileira; Plano de Estabilização</t>
  </si>
  <si>
    <t>Jackson Gomes Barreto</t>
  </si>
  <si>
    <t>Jorge Antonio Dias de Andrade</t>
  </si>
  <si>
    <t>Globalização, investimento externo direto, dívida externa e balanço de pagamentos.</t>
  </si>
  <si>
    <t>Diego Batista Messias</t>
  </si>
  <si>
    <t>Microcrédito, inadimplência, microempreendedores, Banco do Povo.</t>
  </si>
  <si>
    <t>Akahyalla Vieira Santos</t>
  </si>
  <si>
    <t>Atendimento ao cliente, Qualidade em serviços, capital-humano.</t>
  </si>
  <si>
    <t>Tatiani Lulio</t>
  </si>
  <si>
    <t>Microcrédito, Microfinanças, Desenvolvimento Econômico e Social, Pobreza e Desigualdades Sociais.</t>
  </si>
  <si>
    <t>Leno Ricardo Pereira de Carvalho</t>
  </si>
  <si>
    <t>Lixo, coleta seletiva, externalidade, desenvolvimento sustentável</t>
  </si>
  <si>
    <t>Marivaldo da Silva Santos</t>
  </si>
  <si>
    <t>Energias renováveis; matriz energética; sustentabilidade; Biocombustíveis; Desenvolvimento sustentável.</t>
  </si>
  <si>
    <t>Raul de Santana Toso</t>
  </si>
  <si>
    <t>Marketing; turismo; investimento</t>
  </si>
  <si>
    <t>Marcela Guimarães Cunha</t>
  </si>
  <si>
    <t>Turismo; Planejamento; Infra-Estrutura.</t>
  </si>
  <si>
    <t>Amanda de Jesus Santos</t>
  </si>
  <si>
    <t>Serviços; Infra-estrutura; Demanda</t>
  </si>
  <si>
    <t xml:space="preserve">Gabriela Aparecida Souza Santana </t>
  </si>
  <si>
    <t>Emprego público; setor público; consumo; renda</t>
  </si>
  <si>
    <t>Núbia Freitas Fernandes</t>
  </si>
  <si>
    <t>Terceirização, Capital e Trabalho</t>
  </si>
  <si>
    <t>Maicon Almeida Costa</t>
  </si>
  <si>
    <t>Teoria Keynesiana de Desenvolvimento, Endividamento externo, Taxa de juros, capital externo</t>
  </si>
  <si>
    <t>Milton José Moreno Freitas</t>
  </si>
  <si>
    <t>Desenvolvimento econômico; Teoria Keynesiana; CEPAL; investimento</t>
  </si>
  <si>
    <t>Éric de Almeida Campos</t>
  </si>
  <si>
    <t>Custo da água tratada; saneamento básico; preservação do recurso hídrico.</t>
  </si>
  <si>
    <t>Anilton Ventura Tremanti Júnior</t>
  </si>
  <si>
    <t>Legislação Trabalhista, Remuneração, Emprego, Comércio</t>
  </si>
  <si>
    <t>Rovanildo Rodrigues Santos</t>
  </si>
  <si>
    <t>Gestão ambiental empresarial; desenvolvimento sustentável; estratégicas; impactos ambientais</t>
  </si>
  <si>
    <t>Francisley Santos de Menezes</t>
  </si>
  <si>
    <t>Parceria agrícola. Fazenda Vitória. Coaraci.</t>
  </si>
  <si>
    <t>Joselito Albano dos Snatos</t>
  </si>
  <si>
    <t>Aurélio Farias de Macedo</t>
  </si>
  <si>
    <t>Cacau, drawback, importação</t>
  </si>
  <si>
    <t>Roberto Alves de Araújo</t>
  </si>
  <si>
    <t>Trabalho Infantil; Capital Humano; Serviço Público.</t>
  </si>
  <si>
    <t>Cássia de Souza Carvalho</t>
  </si>
  <si>
    <r>
      <rPr>
        <rFont val="Arial"/>
        <color theme="1"/>
        <sz val="11.0"/>
      </rPr>
      <t xml:space="preserve">Sucroalcoleiro; tecnologia </t>
    </r>
    <r>
      <rPr>
        <rFont val="Arial"/>
        <i/>
        <color theme="1"/>
        <sz val="11.0"/>
      </rPr>
      <t>Flex Fuel</t>
    </r>
    <r>
      <rPr>
        <rFont val="Arial"/>
        <color theme="1"/>
        <sz val="11.0"/>
      </rPr>
      <t>; inter-relações; impacto.</t>
    </r>
  </si>
  <si>
    <t>Rutinéia Silva da Rocha</t>
  </si>
  <si>
    <t>Dívida mobiliária interna; composição da dívida; dívida interna.</t>
  </si>
  <si>
    <t>Franklin Matos Silva Júnior</t>
  </si>
  <si>
    <t>Trabalho informal. Feira livre. Mercado de trabalho.</t>
  </si>
  <si>
    <t>Marcela Alves dos Santos</t>
  </si>
  <si>
    <t>Desenvolvimento Regional</t>
  </si>
  <si>
    <t xml:space="preserve">matriz de análise de política - MAP, competitividade, receita privada, receita social.  </t>
  </si>
  <si>
    <t>José Fabrício Correia dos Santos</t>
  </si>
  <si>
    <t>Mandioca; Crédito Rural; Perfil sócio-econômico; Pronaf.</t>
  </si>
  <si>
    <t>Bruno Castelo Branco Benevides</t>
  </si>
  <si>
    <t>Desenvolvimento Econômico</t>
  </si>
  <si>
    <t>Programa Bolsa Família, Microcrédito, Pobreza.</t>
  </si>
  <si>
    <t>Ilana Cristina Nascimento Queiroz</t>
  </si>
  <si>
    <t>Comportamento do Consumidor. Preço. Stisfação do consumidor.</t>
  </si>
  <si>
    <t>Jeremias de Sales Araújo</t>
  </si>
  <si>
    <t>Índice; Ruralidade; Território de Identidade.</t>
  </si>
  <si>
    <t>Valdilene Moreira de Almeida</t>
  </si>
  <si>
    <t>Aviação civil brasileira; Economia Industrial; barreiras à entrada; concentração industrial.</t>
  </si>
  <si>
    <t>Iranilson Antunes da Luz</t>
  </si>
  <si>
    <t>Desenvolvimento, indicadores sociais, educação, renda, longevidade</t>
  </si>
  <si>
    <t>Lorena Mendes Mota</t>
  </si>
  <si>
    <t>Lessí Inês Farias Pinheiro</t>
  </si>
  <si>
    <t>Comercialização agrícola, dendê, agentes de comercialização</t>
  </si>
  <si>
    <t>Felipe Magaive Lima da Silva</t>
  </si>
  <si>
    <t>Mercado de trabalho, empresas, atividades econômicas.</t>
  </si>
  <si>
    <t>Cínthia Aguilar Constantino Matos</t>
  </si>
  <si>
    <t>Café, sistemas de gerenciamento, unidades de produção, rentabilidade.</t>
  </si>
  <si>
    <t>Virgílio Noya Tourinho da Silva</t>
  </si>
  <si>
    <t>Demanda turística; oferta turística, veranismo</t>
  </si>
  <si>
    <t>José Joaquim Argôlo Filho</t>
  </si>
  <si>
    <t>Competitividade Internacional, Políticas Setoriais, VAR.</t>
  </si>
  <si>
    <t>John Leno Castro dos Santos</t>
  </si>
  <si>
    <t>Informações assimétricas; seleção adversa; risco moral; sinalização; taxa de juros; racionamento de crédito; ciclos econômicos; Stiglitz</t>
  </si>
  <si>
    <t>Paulo Lucas de Souza Silva</t>
  </si>
  <si>
    <t>Risco ambiental; gestão ambiental; externalidades;desenvolvimento sustentável; preservação do meio ambiente, receitas e custo sambientais, razão custo/beneficio, analise de sensibilidade.</t>
  </si>
  <si>
    <t>Sandra Aparecida Valette Nascimento Oliveira Maron</t>
  </si>
  <si>
    <t>Construção Civil, PIB, Investimentos.</t>
  </si>
  <si>
    <t>Virgínia Carolline Valete Félix</t>
  </si>
  <si>
    <t>Receptivo turístico, Demanda Turística, Operacionalidade e Atratividade</t>
  </si>
  <si>
    <t>Leonardo de Oliveira Figueiredo</t>
  </si>
  <si>
    <t>Santina Maria Gonçalves</t>
  </si>
  <si>
    <t>2009-14</t>
  </si>
  <si>
    <t>Mercado de trabalho, admissões, desligamentos, setores de atividade econômica.</t>
  </si>
  <si>
    <t>Marta Gomes de Jesus</t>
  </si>
  <si>
    <t>2009-15</t>
  </si>
  <si>
    <t>Consumidor, vantagem competitiva, ebal, examinar.</t>
  </si>
  <si>
    <t>Leandro da Silva Santos</t>
  </si>
  <si>
    <t>2009-16</t>
  </si>
  <si>
    <t>Turismo, economia, renda, qualificação, desenvolvimento.</t>
  </si>
  <si>
    <t>Ynara Farani Silva</t>
  </si>
  <si>
    <t>2009-17</t>
  </si>
  <si>
    <t>Pobreza, Bolsa Família.</t>
  </si>
  <si>
    <t>Miguel Ângelo Cardoso Lago</t>
  </si>
  <si>
    <t>2009-18</t>
  </si>
  <si>
    <t>Cacau clonado, vassoura-de-bruxa, casos mistos, rentabilidade.</t>
  </si>
  <si>
    <t>Alessandra Nascimento Vasconcelos</t>
  </si>
  <si>
    <t>2009-19</t>
  </si>
  <si>
    <t xml:space="preserve">Política fiscal, finanças públicas, superávit primário. </t>
  </si>
  <si>
    <t>Thiago Coelho Alves</t>
  </si>
  <si>
    <t>2009-20</t>
  </si>
  <si>
    <t>Segurança Pública, Turismo, Poder Público.</t>
  </si>
  <si>
    <t>Fernanda Santos Valete Sousa</t>
  </si>
  <si>
    <t>2009-21</t>
  </si>
  <si>
    <t>Gestão Ambiental; Sistema de Gestão Ambiental; Desenvolvimento Sustentável</t>
  </si>
  <si>
    <t>Marilia Melo Jorge</t>
  </si>
  <si>
    <t>Solange R. S. Corrêa</t>
  </si>
  <si>
    <t>2009-22</t>
  </si>
  <si>
    <t>Trabalhador informal; desemprego; mercado de trabalho; perfil sócio-econômico</t>
  </si>
  <si>
    <t>Eliane Queiroz dos Santos</t>
  </si>
  <si>
    <t>2009-23</t>
  </si>
  <si>
    <t>Contabilidade Social</t>
  </si>
  <si>
    <t xml:space="preserve">Contas nacionais; produto interno bruto verde; mensuração; meio ambiente, custos ambientais </t>
  </si>
  <si>
    <t>Flamarion Rodrigues Santos</t>
  </si>
  <si>
    <t>2009-24</t>
  </si>
  <si>
    <t>Microcrédito; microempreendedores; renda.</t>
  </si>
  <si>
    <t>Monique Coelho Lima</t>
  </si>
  <si>
    <t>2009-25</t>
  </si>
  <si>
    <t>Turismo; planejamento; desenvolvimento sócio-econômico.</t>
  </si>
  <si>
    <t>Emanuelle de Oliveira Moreno</t>
  </si>
  <si>
    <t>2009-26</t>
  </si>
  <si>
    <t>Receitas derivadas, receitas orçadas, tributação, transferências intergovernamentais, gastos públicos.</t>
  </si>
  <si>
    <t>Lucileide de Jesus Mendonça</t>
  </si>
  <si>
    <t>2009-27</t>
  </si>
  <si>
    <t>Economia Comportamental</t>
  </si>
  <si>
    <t>Teoria do Prospecto; Efeito Disposição; Ilusões cognitivas.</t>
  </si>
  <si>
    <t>George Barros dos Santos</t>
  </si>
  <si>
    <t>2009-28</t>
  </si>
  <si>
    <t>Preço dos alimentos; desenvolvimento econômico; insegurança alimentar.</t>
  </si>
  <si>
    <t>Sarah Farias Andrade</t>
  </si>
  <si>
    <t>2009-29</t>
  </si>
  <si>
    <t>Economia da Educação</t>
  </si>
  <si>
    <t>Educação Superior; Economia; Capital Humano; Formação Profissional; UESC; Perfil do Estudante.</t>
  </si>
  <si>
    <t>Thiago Pereira dos Reis</t>
  </si>
  <si>
    <t>2009-30</t>
  </si>
  <si>
    <t>Competitividade, Modelo de “diamante de Porter”, estrutura administrativa.</t>
  </si>
  <si>
    <t>Diogo Souza da Hora</t>
  </si>
  <si>
    <t>2009-31</t>
  </si>
  <si>
    <t>Ecoturismo, desenvolvimento sustentável, preservação, meio ambiente</t>
  </si>
  <si>
    <t>Larene Pires dos Santos</t>
  </si>
  <si>
    <t>2009-32</t>
  </si>
  <si>
    <t>Microcrédito, renda, emprego.</t>
  </si>
  <si>
    <t>Camila Maria Souza Santos</t>
  </si>
  <si>
    <t>2009-33</t>
  </si>
  <si>
    <t>Mercado de capitais</t>
  </si>
  <si>
    <t>Análise de Crédito , avaliação, microempresas, Banco</t>
  </si>
  <si>
    <t>Elysson Cunha Xavier</t>
  </si>
  <si>
    <t>2009-34</t>
  </si>
  <si>
    <t>Indicadores socioeconômicos, PIB e Bahia</t>
  </si>
  <si>
    <t>Monira Sales Matos</t>
  </si>
  <si>
    <t>2009-35</t>
  </si>
  <si>
    <t>Crescimento sócio-econômico. Implantação. Desenvolvimento.</t>
  </si>
  <si>
    <t>Wallace Benjamin Kruschewsky</t>
  </si>
  <si>
    <t>2009-36</t>
  </si>
  <si>
    <t>Estado, crescimento econômico, desequilíbrios.</t>
  </si>
  <si>
    <t>Daniel Freitas Leite Júnior</t>
  </si>
  <si>
    <t xml:space="preserve">Aurélio Farias de Macedo </t>
  </si>
  <si>
    <t>2009-37</t>
  </si>
  <si>
    <t>Habitação; nível sócio-econômico; satisfação; serviços públicos</t>
  </si>
  <si>
    <t>Jeorge Silva Santos</t>
  </si>
  <si>
    <t>2009-38</t>
  </si>
  <si>
    <t>Pobreza, Indigência, Políticas de transferência de renda, renda informal, políticas públicas</t>
  </si>
  <si>
    <t>Maria Nicelma Araujo Ribeiro</t>
  </si>
  <si>
    <t>2009-39</t>
  </si>
  <si>
    <t xml:space="preserve">Perfil socioeconômico. Mototáxi. Itabuna. </t>
  </si>
  <si>
    <t>Márcio Ronald Nascimento Cerqueira</t>
  </si>
  <si>
    <t>2009-40</t>
  </si>
  <si>
    <t>Valoração ambiental, custo de viagem e demanda</t>
  </si>
  <si>
    <t>Murilo Gualberto Amorim Novais</t>
  </si>
  <si>
    <t>2009-41</t>
  </si>
  <si>
    <t>Demanda turística; oferta turística; mercado turístico; veranismo</t>
  </si>
  <si>
    <t>Quésia Evangelista de Souza</t>
  </si>
  <si>
    <t>2009-42</t>
  </si>
  <si>
    <t>PIB, desenvolvimento econômico, indicadores econômicos.</t>
  </si>
  <si>
    <t>Aloísio Freitas Marcelino</t>
  </si>
  <si>
    <t>2009-43</t>
  </si>
  <si>
    <t>Previdência Social no Brasil, déficit previdenciário, reformas previdenciárias, setor público, panorama socioeconômico</t>
  </si>
  <si>
    <t>Nádia Batista de Carvalho</t>
  </si>
  <si>
    <t>2009-44</t>
  </si>
  <si>
    <t>Barreiras à entrada; Concentração; Diversificação; Concorrência; Tecnologia; Crise Financeira.</t>
  </si>
  <si>
    <t>Thaiana Bahia Teixeira da Silva</t>
  </si>
  <si>
    <t>2009-45</t>
  </si>
  <si>
    <t>Política monetária; Taxa de juros Selic; Inflação e Crescimento econômico</t>
  </si>
  <si>
    <t>Jaqueline Silva de Almeida</t>
  </si>
  <si>
    <t>2009-46</t>
  </si>
  <si>
    <t>Satisfação; analise fatorial.</t>
  </si>
  <si>
    <t>Tarcizo Bitencourt Santana</t>
  </si>
  <si>
    <t>2009-47</t>
  </si>
  <si>
    <t>Desenvolvimento socioeconômico, liberdades instrumentais.</t>
  </si>
  <si>
    <t>Fernanda Rodrigues Moraes</t>
  </si>
  <si>
    <t>2009-48</t>
  </si>
  <si>
    <t>Economia Política</t>
  </si>
  <si>
    <t>Crise capitalista; Mercado Subprime; Financeirização, Economia brasileira</t>
  </si>
  <si>
    <t>Manoel Marinho dos Santos Neto</t>
  </si>
  <si>
    <t>2009-49</t>
  </si>
  <si>
    <t>Economia Baiana; Indicadores econômicos; Desenvolvimento Econômico</t>
  </si>
  <si>
    <t>Lílian Oliveira dos Santos</t>
  </si>
  <si>
    <t>2009-50</t>
  </si>
  <si>
    <t>Amanda Oliveira de Miranda Daud Lima</t>
  </si>
  <si>
    <t>2010-01</t>
  </si>
  <si>
    <t>Turismo; Emprego; Renda; Fluxo turístico.</t>
  </si>
  <si>
    <t>Istefania de Oliveira Santos</t>
  </si>
  <si>
    <t>2010-02</t>
  </si>
  <si>
    <t>Economia regional, impacto sócio-econômico-ambiental, celulose.</t>
  </si>
  <si>
    <t>Aline Trancoso Oliveira</t>
  </si>
  <si>
    <t>2010-03</t>
  </si>
  <si>
    <t>Jovem empreendedor, Educação, Mercado de trabalho</t>
  </si>
  <si>
    <t>Neorley Batista Carvalho</t>
  </si>
  <si>
    <t>2010-04</t>
  </si>
  <si>
    <t>Planejamento estratégico, setor público, turismo.</t>
  </si>
  <si>
    <t>Vívian Carline Santos Freitas</t>
  </si>
  <si>
    <t>2010-05</t>
  </si>
  <si>
    <t>Cooperativismo, cooperativismo de crédito, eficiência financeira, análise de balanços</t>
  </si>
  <si>
    <t>Itamara Silva Meira</t>
  </si>
  <si>
    <t>2010-06</t>
  </si>
  <si>
    <t>Desigualdade, pobreza, política pública, Bolsa-Família.</t>
  </si>
  <si>
    <t>Raimundo Alves de Souza Neto</t>
  </si>
  <si>
    <t>2010-07</t>
  </si>
  <si>
    <t>Sistema de Gestão Ambiental (SGA), Desenvolvimento sustentável, Economia dos recursos naturais</t>
  </si>
  <si>
    <t>Kaiza Correia da Silva Oliveira</t>
  </si>
  <si>
    <t>2010-08</t>
  </si>
  <si>
    <t>Informalidade, Mulher, Empreendimentos.</t>
  </si>
  <si>
    <t>Cíntia do Nascimento Fortaleza</t>
  </si>
  <si>
    <t>2010-09</t>
  </si>
  <si>
    <t>Cosméticos; Segmentação; Mercado Étnico.</t>
  </si>
  <si>
    <t>Fernanda Leite Santos</t>
  </si>
  <si>
    <t>2010-10</t>
  </si>
  <si>
    <t>Biocombustível, Agricultura, Sazonalidade</t>
  </si>
  <si>
    <t>Samuel Messias Barbosa Santos</t>
  </si>
  <si>
    <t>2010-11</t>
  </si>
  <si>
    <t>Biocombustíveis, comércio internacional, competitividade.</t>
  </si>
  <si>
    <t>Mariana Massena</t>
  </si>
  <si>
    <t>2010-12</t>
  </si>
  <si>
    <t>Causalidade de Granger; eficiência dos mercados; cesta básica.</t>
  </si>
  <si>
    <t>Michele Dreger Vasconcelos Silva</t>
  </si>
  <si>
    <t>2010-13</t>
  </si>
  <si>
    <t>Cana-de-açúcar, açúcar, álcool, Brasil, correlação, regressão.</t>
  </si>
  <si>
    <t>Gabriel de Matos Souza</t>
  </si>
  <si>
    <t>Marcelo Inácio Ferreira Ferraz</t>
  </si>
  <si>
    <t>2010-14</t>
  </si>
  <si>
    <t>Inflação, regime de metas e credibilidade da política monetária.</t>
  </si>
  <si>
    <t>Murilo Cabral Castro da Costa</t>
  </si>
  <si>
    <t>2010-15</t>
  </si>
  <si>
    <r>
      <rPr>
        <rFont val="Arial"/>
        <color theme="1"/>
        <sz val="11.0"/>
      </rPr>
      <t xml:space="preserve">Valor da Produção, Manga, Modelo </t>
    </r>
    <r>
      <rPr>
        <rFont val="Arial"/>
        <i/>
        <color theme="1"/>
        <sz val="11.0"/>
      </rPr>
      <t>Shift-Share</t>
    </r>
    <r>
      <rPr>
        <rFont val="Arial"/>
        <color theme="1"/>
        <sz val="11.0"/>
      </rPr>
      <t>.</t>
    </r>
  </si>
  <si>
    <t>Jeferson Oliveira Rosario</t>
  </si>
  <si>
    <t>2010-16</t>
  </si>
  <si>
    <t>Ração essencial mínima, restrição orçamentária, poder de compra, salário mínimo.</t>
  </si>
  <si>
    <t>Gilmara de Oliveira Dias</t>
  </si>
  <si>
    <t>2010-17</t>
  </si>
  <si>
    <t>Mercado de trabalho, saldos de ocupações, emprego, evolução e dinâmica.</t>
  </si>
  <si>
    <t>Carla Rodrigues Santos</t>
  </si>
  <si>
    <t>2010-18</t>
  </si>
  <si>
    <t>Empreendedorismo, micro e pequenas empresas, mortalidade das MPE'S.</t>
  </si>
  <si>
    <t>Jamille Viana de Souza</t>
  </si>
  <si>
    <t>2010-19</t>
  </si>
  <si>
    <t>Liberalismo, keynesianismo, neoliberalismo, autonomia do BC.</t>
  </si>
  <si>
    <t>Bruno Fabiano Matos de Sá</t>
  </si>
  <si>
    <t>2010-20</t>
  </si>
  <si>
    <t>Políticas Públicas; Programa Tarifa Social e Bem-estar social.</t>
  </si>
  <si>
    <t>Josy Oliveira Silva</t>
  </si>
  <si>
    <t>2010-21</t>
  </si>
  <si>
    <t>seguridade, receita, despesa, execução orçamentária</t>
  </si>
  <si>
    <t>José Luis Figueiredo de Araújo</t>
  </si>
  <si>
    <t>2010-22</t>
  </si>
  <si>
    <t>Centralidade. Dependência comercial. Oferta de Bens e serviços.</t>
  </si>
  <si>
    <t>Leandro Silva Santana</t>
  </si>
  <si>
    <t>2010-23</t>
  </si>
  <si>
    <t>Crise Financeira; política monetária; instrumentos monetários;</t>
  </si>
  <si>
    <t>Josélia Sacramento de Jesus</t>
  </si>
  <si>
    <t>2010-24</t>
  </si>
  <si>
    <t>Consumidor. Nível de satisfação. Qualidade de serviço. Fast food. McDonald’s.</t>
  </si>
  <si>
    <t>Valéria Roberta Monteiro Evangelista</t>
  </si>
  <si>
    <t xml:space="preserve">Elenildes Santana Pereira </t>
  </si>
  <si>
    <t>2010-25</t>
  </si>
  <si>
    <t>Industrialização; tecnologia; inovações tecnológicas; Processo de Substituição de Importações; capital estrangeiro.</t>
  </si>
  <si>
    <t>Jeyson Bomfim de Oliveira</t>
  </si>
  <si>
    <t>2010-26</t>
  </si>
  <si>
    <t>Gênero, Mercado de trabalho, Capital Humano</t>
  </si>
  <si>
    <t>Sharlene Cristiane Reis Cruz dos Santos</t>
  </si>
  <si>
    <t>2010-27</t>
  </si>
  <si>
    <t>Racionalidade do consumidor, Decisão de compra, Ração Essencial Mínima.</t>
  </si>
  <si>
    <t>Ednilva Barros Passos</t>
  </si>
  <si>
    <t>2010-28</t>
  </si>
  <si>
    <t>Varejo; Concorrência; Consumidor; Serviços; Variedade.</t>
  </si>
  <si>
    <t>Iara Alves Santos Silva</t>
  </si>
  <si>
    <t>2010-29</t>
  </si>
  <si>
    <t>Teoria econômica. Mercado de trabalho. Abertura comercial. Vetor Auto-Regressivo. Séries temporais.</t>
  </si>
  <si>
    <t>Danillo Teles de Britto Bispo</t>
  </si>
  <si>
    <t>2010-30</t>
  </si>
  <si>
    <t>Heveicultura, crescimento econômico, modelo estrutural-diferencial, política agrícola, borracha natural Bahia.</t>
  </si>
  <si>
    <t>Tayse Oliveira Torres</t>
  </si>
  <si>
    <t>2010-31</t>
  </si>
  <si>
    <t>Unidades produtoras; Análise de SWOT; Carcinicultura.</t>
  </si>
  <si>
    <t>Girlian Silva de Sousa</t>
  </si>
  <si>
    <t>2010-32</t>
  </si>
  <si>
    <t>Globalização, estratégia, reestruturação produtiva, treinamento, qualificação.</t>
  </si>
  <si>
    <t>Daniel Oliveira Costa</t>
  </si>
  <si>
    <t>2010-33</t>
  </si>
  <si>
    <t>Balança Comercial, Acordos Internacionais, Barreiras Comerciais, Taxa de Câmbio.</t>
  </si>
  <si>
    <t>Valter Luciano Bispo Júnior</t>
  </si>
  <si>
    <t>2010-34</t>
  </si>
  <si>
    <t>Plano funerário, inadimplência.</t>
  </si>
  <si>
    <t>Daniel Albuquerque</t>
  </si>
  <si>
    <t>2010-35</t>
  </si>
  <si>
    <t>Mulher; mercado de trabalho; gênero.</t>
  </si>
  <si>
    <t>Eline Márcia Silva Cardoso</t>
  </si>
  <si>
    <t>2010-36</t>
  </si>
  <si>
    <t>Externalidades; Escolha Pública; Comércio Informal.</t>
  </si>
  <si>
    <t>Daniele Franciane Celestino Simões Santos</t>
  </si>
  <si>
    <t>2010-37</t>
  </si>
  <si>
    <t>Comportamento do consumidor; Funções de Engel. Privação multidimensional.</t>
  </si>
  <si>
    <t>Priscilla Karley Vieira de Assunção</t>
  </si>
  <si>
    <t>2010-38</t>
  </si>
  <si>
    <t>Gestão ambiental; reputação corporativa; responsabilidade social.</t>
  </si>
  <si>
    <t>Carla Cristina Pereira Pucharelli</t>
  </si>
  <si>
    <t>2010-39</t>
  </si>
  <si>
    <t>Qualificação; turismo; renda; trabalho.</t>
  </si>
  <si>
    <t>Arivaldo Ribeiro da Silva Júnior</t>
  </si>
  <si>
    <t>2011-01</t>
  </si>
  <si>
    <t>Pobreza; Programas Sociais; Autonomia; Emancipação</t>
  </si>
  <si>
    <t>Rosana Queiroz Santos</t>
  </si>
  <si>
    <t>2011-02</t>
  </si>
  <si>
    <t>Laticínio; Viabilidade Econômica; Viabilidade Financeira; Análise de Sensibilidade.</t>
  </si>
  <si>
    <t>Zuleide Anunciação dos Santos</t>
  </si>
  <si>
    <t>Naisy Silva Soares</t>
  </si>
  <si>
    <t>2011-03</t>
  </si>
  <si>
    <t>Taxa de Câmbio. Regimes Cambiais. Balança Comercial. Liberalização Financeira.</t>
  </si>
  <si>
    <t>Jesseclei de Jesus Costa</t>
  </si>
  <si>
    <t>2011-04</t>
  </si>
  <si>
    <t>Demanda; atividade turística; macroeconomia.</t>
  </si>
  <si>
    <t>Robert Macedo dos Santos Costa</t>
  </si>
  <si>
    <t>2011-05</t>
  </si>
  <si>
    <t>Turismo, Participação Popular, Análise Fatorial.</t>
  </si>
  <si>
    <t xml:space="preserve">João Francisco da Silva Junior </t>
  </si>
  <si>
    <t>Política Fiscal</t>
  </si>
  <si>
    <t>Política Fiscal. Déficit Público.</t>
  </si>
  <si>
    <t>Thaís Muniz de Andrade</t>
  </si>
  <si>
    <t>2011-07</t>
  </si>
  <si>
    <t>Gastronomia; estrutura de mercado; quitute baiano.</t>
  </si>
  <si>
    <t>Jocimara Reis Santos</t>
  </si>
  <si>
    <t>Helga Bispo Dulce Passos</t>
  </si>
  <si>
    <t>2011-08</t>
  </si>
  <si>
    <t>Política fiscal. Consumo agregado. Intervencionismo estatal. Crescimento econômico.</t>
  </si>
  <si>
    <t>Camila Saúde da Silva</t>
  </si>
  <si>
    <t>2011-09</t>
  </si>
  <si>
    <t>Econometria, Microeconomia, Recursos Hídricos.</t>
  </si>
  <si>
    <t>Ederson Brito dos Santos</t>
  </si>
  <si>
    <t xml:space="preserve">Serviços. Empregados Formais. </t>
  </si>
  <si>
    <t>Marta Coelho da Costa</t>
  </si>
  <si>
    <t>2011-11</t>
  </si>
  <si>
    <t>Fundo de Participação dos Municípios. Função redistributiva. Benefícios previdenciários. Receitas e despesas públicas.</t>
  </si>
  <si>
    <t>Geórgia Ferraz de Oliveira Pinto</t>
  </si>
  <si>
    <t>2011-12</t>
  </si>
  <si>
    <t>Economia Solidária. Desenvolvimento Local. Capital Social. Autogestão.</t>
  </si>
  <si>
    <t>José Vicente de Oliveira Soares</t>
  </si>
  <si>
    <t>2011-13</t>
  </si>
  <si>
    <t xml:space="preserve">Política Fiscal. Contração. Expansão. Setor Industrial. Gastos Públicos. </t>
  </si>
  <si>
    <t>Kleber de Oliveira</t>
  </si>
  <si>
    <t>2011-14</t>
  </si>
  <si>
    <t>Políticas Públicas. Ações Afirmativas. Vestibular.</t>
  </si>
  <si>
    <t>Renata Ribeiro Borba</t>
  </si>
  <si>
    <t>2011-15</t>
  </si>
  <si>
    <t>Gastos governamentais, emprego, renda</t>
  </si>
  <si>
    <t>Magaly Santana Silva</t>
  </si>
  <si>
    <t>2011-16</t>
  </si>
  <si>
    <t>Economia Solidária. Doutrina Social Católica. Princípios.</t>
  </si>
  <si>
    <t>Andréa Santos Smith</t>
  </si>
  <si>
    <t>2011-17</t>
  </si>
  <si>
    <t>Política monetária. Metas de inflação. Estabilidade de preços.</t>
  </si>
  <si>
    <t>Ronilton Santos Sampaio</t>
  </si>
  <si>
    <t>2011-18</t>
  </si>
  <si>
    <t>Desempenho cíclico. Séries temporais. Conjuntura econômica. Dinâmica econômica.</t>
  </si>
  <si>
    <t>Thaís Lima Fraga</t>
  </si>
  <si>
    <t>2011-19</t>
  </si>
  <si>
    <t>Mamona. Biodiesel. Indicadores de desempenho.</t>
  </si>
  <si>
    <t>Tallys Lima de Souza</t>
  </si>
  <si>
    <t>2011-20</t>
  </si>
  <si>
    <t>Incidência Tributária. Constituição do Preço. Estratégia.</t>
  </si>
  <si>
    <t>Antonio Carlos Santos Júnior</t>
  </si>
  <si>
    <t>2011-21</t>
  </si>
  <si>
    <t>Exportações, taxa de câmbio, balança comercial.</t>
  </si>
  <si>
    <t>Vitório Nunes de Almeida Neto</t>
  </si>
  <si>
    <t>Setor Público</t>
  </si>
  <si>
    <t>Escolas da rede municipal, avaliação, fatores sociais e econômicos</t>
  </si>
  <si>
    <t>Héllade Xavier Guimarães</t>
  </si>
  <si>
    <t>2011-24</t>
  </si>
  <si>
    <t>Acumulação, capitalismo, imperialismo, Rosa Luxemburgo.</t>
  </si>
  <si>
    <t>Renata Vieira de Abreu</t>
  </si>
  <si>
    <t>Sérgio Ricardo Ribeiro Lima</t>
  </si>
  <si>
    <t>Feiras, Central de Abastecimento, hierarquização, consumidores.</t>
  </si>
  <si>
    <t xml:space="preserve">Rodrigo Alves Dourado </t>
  </si>
  <si>
    <t>2011-31</t>
  </si>
  <si>
    <t>Gersivaldo da Silva Marques</t>
  </si>
  <si>
    <t>Sócrates  Moquete Jacobo Guzman</t>
  </si>
  <si>
    <t>2012-01</t>
  </si>
  <si>
    <t xml:space="preserve">Política Fiscal. Equilíbrio Fiscal. </t>
  </si>
  <si>
    <t>André Santos Moura</t>
  </si>
  <si>
    <t>Carlos Eduardo Iwai Drumond</t>
  </si>
  <si>
    <t>2012-02</t>
  </si>
  <si>
    <t>Políticas Publicas</t>
  </si>
  <si>
    <t>Serviços públicos; Comunidade; Políticas Públicas.</t>
  </si>
  <si>
    <t>Caroline Maria Costa</t>
  </si>
  <si>
    <t>2012-03</t>
  </si>
  <si>
    <t>Economia de serviços. Qualidade em serviços. Satisfação dos clientes.</t>
  </si>
  <si>
    <t>André Luiz Ribeiro Borba</t>
  </si>
  <si>
    <t>2012-04</t>
  </si>
  <si>
    <t>Custos, pecuária de corte, produtividade.</t>
  </si>
  <si>
    <t>Gilmar Eduvirgens Ferreira</t>
  </si>
  <si>
    <t>Givago Barreto Martins dos Santos</t>
  </si>
  <si>
    <t>2012-05</t>
  </si>
  <si>
    <t>Economia Neoclássica. Economia ecológica. Ecomarxismo. Planejamento ambiental. Desenvolvimento sustentável</t>
  </si>
  <si>
    <t>Matheus dos Santos Melo</t>
  </si>
  <si>
    <t>2012-06</t>
  </si>
  <si>
    <t>Tilapicultura. Viabilidade. Paulo Afonso. Tanques-rede</t>
  </si>
  <si>
    <t>Ramah Campos Borges Matos</t>
  </si>
  <si>
    <t>2012-07</t>
  </si>
  <si>
    <t>Estudo de mercado. Planejamento financeiro. Indicadores econômico-financeiros.</t>
  </si>
  <si>
    <t>João Hortolani Baldo</t>
  </si>
  <si>
    <t>2012-08</t>
  </si>
  <si>
    <r>
      <rPr>
        <rFont val="Arial"/>
        <color theme="1"/>
        <sz val="11.0"/>
      </rPr>
      <t xml:space="preserve">Comércio Eletrônico. Varejo. Teoria do Consumidor. Webshoppers. Pesquisa Anual do Comércio. </t>
    </r>
    <r>
      <rPr>
        <rFont val="Arial"/>
        <i/>
        <color theme="1"/>
        <sz val="11.0"/>
      </rPr>
      <t>E-commerce.</t>
    </r>
  </si>
  <si>
    <t>Wald Gomes de Melo Neto</t>
  </si>
  <si>
    <t>Marianne Costa Oliveira</t>
  </si>
  <si>
    <t>2012-09</t>
  </si>
  <si>
    <t>Pesquisa em Economia</t>
  </si>
  <si>
    <t>Monografia. Economia UESC-BA. Metodologia da Pesquisa.</t>
  </si>
  <si>
    <t>Claudeildes Rodrigues Pereira</t>
  </si>
  <si>
    <t>2012-10</t>
  </si>
  <si>
    <t>Concorrência. Competitividade. Estratégias.</t>
  </si>
  <si>
    <t>Flávio Farias Barreto</t>
  </si>
  <si>
    <t>2012-12</t>
  </si>
  <si>
    <t xml:space="preserve">Celulose. Papel brasileiro. </t>
  </si>
  <si>
    <t>Jussimara Souza Santos</t>
  </si>
  <si>
    <t>2012-13</t>
  </si>
  <si>
    <t>Cacauicultura. Produção de Cacau. Vassoura de Bruxa.</t>
  </si>
  <si>
    <t>Marcus Vinicius Monstans Dias Junior</t>
  </si>
  <si>
    <t>2012-14</t>
  </si>
  <si>
    <t>Metas de inflação; Estabilização; Crescimento econômico</t>
  </si>
  <si>
    <t>Monica Silveira da Silva</t>
  </si>
  <si>
    <t>2012-15</t>
  </si>
  <si>
    <t>Balanço de pagamentos. Relações comerciais. Economia Internacional.</t>
  </si>
  <si>
    <t>Giuliano Fernandes Cesarino</t>
  </si>
  <si>
    <t>2012-16</t>
  </si>
  <si>
    <t>Preços, Cacau, Previsão, ARIMA.</t>
  </si>
  <si>
    <t>Vandete Almeida Silva</t>
  </si>
  <si>
    <t>2012-17</t>
  </si>
  <si>
    <t>Associativismo, Mercado de trabalho, Economia solidária, Desenvolvimento local.</t>
  </si>
  <si>
    <t>Vinicius Aragão Martins da Costa</t>
  </si>
  <si>
    <r>
      <rPr>
        <rFont val="Arial"/>
        <color theme="1"/>
        <sz val="11.0"/>
      </rPr>
      <t>Luíza Reis Teixeira</t>
    </r>
    <r>
      <rPr>
        <rFont val="Arial"/>
        <color rgb="FF000000"/>
        <sz val="11.0"/>
      </rPr>
      <t xml:space="preserve"> </t>
    </r>
  </si>
  <si>
    <t>2012-18</t>
  </si>
  <si>
    <t>Reforma agrária, condições de vida, PA Buíque.</t>
  </si>
  <si>
    <t>Diego Pita Ramos</t>
  </si>
  <si>
    <t>2012-19</t>
  </si>
  <si>
    <t>Indústria cinematográfica, concentração, competição industrial.</t>
  </si>
  <si>
    <t>Thiago Cavalcante de Souza</t>
  </si>
  <si>
    <t>2012-20</t>
  </si>
  <si>
    <t>Poupança Nacional Bruta. Inflação. Taxa de juros. Renda disponível. Consumo</t>
  </si>
  <si>
    <t>Sharlene Porto Loiola</t>
  </si>
  <si>
    <t>2012-21</t>
  </si>
  <si>
    <t>Economia Solidária, Empreendimentos Econômicos Solidários.</t>
  </si>
  <si>
    <t>Cleane Almeida Silva</t>
  </si>
  <si>
    <t>Zina Angélica Cáceres Benavides</t>
  </si>
  <si>
    <t>2012-22</t>
  </si>
  <si>
    <t>Índice de Desenvolvimento Rural. Agricultura. Sustentabilidade.</t>
  </si>
  <si>
    <t>Viviane Bomfim Santos</t>
  </si>
  <si>
    <t>2012-23</t>
  </si>
  <si>
    <t>Mulher, informalidade, renda.</t>
  </si>
  <si>
    <t>Leila Carvalho Santos</t>
  </si>
  <si>
    <t>2012-24</t>
  </si>
  <si>
    <t>Certificação. Cacau. Preço de comercialização. Margem de lucratividade. Modelo comparativo.</t>
  </si>
  <si>
    <t>Eduardo Góes Viana</t>
  </si>
  <si>
    <t>2012-25</t>
  </si>
  <si>
    <t>Impacto da redução do IPI. Vendas e produção de automóveis. Brasil.</t>
  </si>
  <si>
    <t>Tarcizo Rodrigues Barreto</t>
  </si>
  <si>
    <t>2012-26</t>
  </si>
  <si>
    <t>Supermercados, preços, necessidades do consumidor, concorrência</t>
  </si>
  <si>
    <t>Fillipe Teles Silveira</t>
  </si>
  <si>
    <t>2012-27</t>
  </si>
  <si>
    <t>Desempenho acadêmico. Variáveis sócio-econômicas e culturais. Regressão linear múltipla. Regressão logística.</t>
  </si>
  <si>
    <t>Fernanda Barbosa da Silveira</t>
  </si>
  <si>
    <t>2012-28</t>
  </si>
  <si>
    <t>Turismo Rural. Oferta Turística.</t>
  </si>
  <si>
    <t>Lúcio de Souza Carvalho</t>
  </si>
  <si>
    <t>2012-29</t>
  </si>
  <si>
    <t>Consumidor. Economia Comportamental. Tomada de decisão. Automóveis. Chevrolet.</t>
  </si>
  <si>
    <t>Daiana Brito dos Santos</t>
  </si>
  <si>
    <t>2012-30</t>
  </si>
  <si>
    <t>Mulher. Educação. Mercado de Trabalho. Capital humano.</t>
  </si>
  <si>
    <t>Aline Gonçalves Silva</t>
  </si>
  <si>
    <t>2012-31</t>
  </si>
  <si>
    <t>Consumo das famílias. Inflação. Taxa de juros. Renda agregada.</t>
  </si>
  <si>
    <t>Wanderson da Silva Santos</t>
  </si>
  <si>
    <t>2012-32</t>
  </si>
  <si>
    <t>Desenvolvimento. Liberdade Instrumentais. Indicadores Sociais.</t>
  </si>
  <si>
    <t>Caroline Rodrigues Geambastiane</t>
  </si>
  <si>
    <t>2012-33</t>
  </si>
  <si>
    <t>Agricultura Familiar. Microcrédito. Agroamigo</t>
  </si>
  <si>
    <t>Saulo Tristão dos Santos</t>
  </si>
  <si>
    <t>2012-34</t>
  </si>
  <si>
    <t>Economia Empresarial</t>
  </si>
  <si>
    <t>Bahia. Emprego Formal. Itabuna.</t>
  </si>
  <si>
    <t>Liliane Gabrielle Santos</t>
  </si>
  <si>
    <t>Ana Elísia de Freitas Merelles</t>
  </si>
  <si>
    <t>2012-35</t>
  </si>
  <si>
    <t>Sistema Único de Informações de Benefícios. Produto Interno Bruto. Fundo de Participação dos Municípios.</t>
  </si>
  <si>
    <t>Diego Franco da Costa</t>
  </si>
  <si>
    <t>2012-36</t>
  </si>
  <si>
    <t>Desigualdades Sociais. Déficit habitacional. Programa Minha Casa Minha Vida.</t>
  </si>
  <si>
    <t>Jefferson da Silva Ramos</t>
  </si>
  <si>
    <t>2012-37</t>
  </si>
  <si>
    <t>Renda. Informalidade. Serviço autônomo.</t>
  </si>
  <si>
    <t>Naylton Sá Santos Neto</t>
  </si>
  <si>
    <t>2012-38</t>
  </si>
  <si>
    <t>Consumo sustentável. Consciência ambiental. Consciência social. Meio ambiente.</t>
  </si>
  <si>
    <t>Daniele Neiva da Silva Azevedo</t>
  </si>
  <si>
    <t>2012-39</t>
  </si>
  <si>
    <t xml:space="preserve">Cesta básica oficial. Política fiscal. Salário mínimo. </t>
  </si>
  <si>
    <t>Lucas Martins Silva</t>
  </si>
  <si>
    <t>2012-40</t>
  </si>
  <si>
    <t>Simples Nacional. Tributação. Taxa de fiscalização do funcionamento. SEBRAE</t>
  </si>
  <si>
    <t>José Paulo dos Santos Filho</t>
  </si>
  <si>
    <t>2012-41</t>
  </si>
  <si>
    <t>Crises Econômicas. Crise de 29. Padrão Ouro. Crise do Subprime. Teoria Austríaca dos Ciclos Econômicos.</t>
  </si>
  <si>
    <t>Leovigildo Melgaço Tolentino Neto</t>
  </si>
  <si>
    <t>2012-42</t>
  </si>
  <si>
    <t xml:space="preserve">Pequena empresa. Empreendedores. </t>
  </si>
  <si>
    <t>Menandro Breno Francisco de Almeida</t>
  </si>
  <si>
    <t>2012-43</t>
  </si>
  <si>
    <t>Economia da Inovação</t>
  </si>
  <si>
    <t>Inovação. Ecodesign. Inovações Sustentáveis.</t>
  </si>
  <si>
    <t>Damaceno Novaes do Nascimento</t>
  </si>
  <si>
    <t>2012-44</t>
  </si>
  <si>
    <t>Capital social, relações sociais, confiança, mídias, internet e redes sociais.</t>
  </si>
  <si>
    <t>Rafael Bertoldo dos Santos</t>
  </si>
  <si>
    <t>2012-45</t>
  </si>
  <si>
    <t>Dívida Pública, Necessidade de Financiamento do Setor Público, Falhas de Mercado, Política Fiscal, Política Econômica.</t>
  </si>
  <si>
    <t>Ronaldo de Assis Santos</t>
  </si>
  <si>
    <t>2012-46</t>
  </si>
  <si>
    <t>Estratégias competitivas. Inovação. Concorrência.</t>
  </si>
  <si>
    <t>Samara Nascimento Batista</t>
  </si>
  <si>
    <t>2012-47</t>
  </si>
  <si>
    <t>Programa de Aquisição de Alimentos. Políticas Públicas para a agricultura familiar. Segurança alimentar e nutricional.</t>
  </si>
  <si>
    <t>Sandra Regina de Queiroz Santos</t>
  </si>
  <si>
    <t>2012-48</t>
  </si>
  <si>
    <t>Economia Urbana</t>
  </si>
  <si>
    <t>Ilhéus. Comércio. Violência. Crescimento econômico.</t>
  </si>
  <si>
    <t>Taã Pereira da Cruz Santos</t>
  </si>
  <si>
    <t>2012-49</t>
  </si>
  <si>
    <t>Crédito. Macroeconomia. Política Monetária. Keynes. Friedman.</t>
  </si>
  <si>
    <t>Elton Portela dos Santos</t>
  </si>
  <si>
    <t>2012-50</t>
  </si>
  <si>
    <t>História Econômica Geral</t>
  </si>
  <si>
    <t>Trabalho, Estado, capitalismo, burguesia.</t>
  </si>
  <si>
    <t>Rodrigo Hohlenwerger de Souza</t>
  </si>
  <si>
    <t>Ração para cães, satisfação, fidelidade.</t>
  </si>
  <si>
    <t>Leila Maria da Silva Bispo</t>
  </si>
  <si>
    <t>Cotas, vestibular, ensino superior.</t>
  </si>
  <si>
    <t>Camila Santos da Silva</t>
  </si>
  <si>
    <t>CRAA, cotas, ações afirmativas, evasão, questionário socioeconômico.</t>
  </si>
  <si>
    <t>Diogo Barbosa Figueredo</t>
  </si>
  <si>
    <t>2013-01</t>
  </si>
  <si>
    <t>Mercado; Equações simultâneas; Comércio Internacional</t>
  </si>
  <si>
    <t>Lucielma de Oliveira Dias</t>
  </si>
  <si>
    <t>Marcelo dos Santos da Silva</t>
  </si>
  <si>
    <t>2013-02</t>
  </si>
  <si>
    <t>Agricultura Familiar</t>
  </si>
  <si>
    <t>Agricultura familiar – PRONAF – Crédito Rural</t>
  </si>
  <si>
    <t>Eline Matos Reis</t>
  </si>
  <si>
    <t>2013-03</t>
  </si>
  <si>
    <t>Escolha do curso de nível superior. Demanda por curso de Ciências Econômicas. Concluintes do Ensino Médio.</t>
  </si>
  <si>
    <t>Cliciane Sampaio Pinheiro Cunha</t>
  </si>
  <si>
    <t>2013-04</t>
  </si>
  <si>
    <t>Salário mínimo. Crescimento econômico. Poder de compra</t>
  </si>
  <si>
    <t>Marcos Sena Matos Lima</t>
  </si>
  <si>
    <t>2013-05</t>
  </si>
  <si>
    <t>Cepal ; Economia brasileira; Desenvolvimento; subdesenvolvimento; Industrialização .</t>
  </si>
  <si>
    <t>Jéssica Maiana Silva Reis</t>
  </si>
  <si>
    <t>2013-06</t>
  </si>
  <si>
    <t>Papel do Estado. Industrialização. Desaceleração Industrial.</t>
  </si>
  <si>
    <t>Albert Lucas Gomes Carvalho</t>
  </si>
  <si>
    <t>2013-07</t>
  </si>
  <si>
    <t>Óleo de soja, biodiesel, mercado.</t>
  </si>
  <si>
    <t>Valéria Sena Santos</t>
  </si>
  <si>
    <t>2013-08</t>
  </si>
  <si>
    <t>FETAG-BA, MCCS, PA-Brasil, poder de compra, desenvolvimento rural.</t>
  </si>
  <si>
    <t>Jadson Dias Marinho</t>
  </si>
  <si>
    <t>2013-09</t>
  </si>
  <si>
    <t>Comportamento do consumidor; Segmento de saúde; Microeconomia.</t>
  </si>
  <si>
    <t>Sailandia Santos Rocha</t>
  </si>
  <si>
    <t>2013-10</t>
  </si>
  <si>
    <t>Serviços ofertados. Lan house. Sociabilidade. Disposição a pagar.</t>
  </si>
  <si>
    <t>Tiago Correia Sousa Guimarães</t>
  </si>
  <si>
    <t>2013-11</t>
  </si>
  <si>
    <t>Parceria Público-Privada; Sistema Prisional; Ressocialização</t>
  </si>
  <si>
    <t>Kalilo Santos Rodrigues</t>
  </si>
  <si>
    <t>2013-12</t>
  </si>
  <si>
    <t>Estabilidade financeira; crescimento; crédito consignado; consumo; endividamento.</t>
  </si>
  <si>
    <t>Monik Vieira de Oliveira Kjeldson</t>
  </si>
  <si>
    <t>2013-13</t>
  </si>
  <si>
    <t>Crescimento econômico. Desenvolvimento econômico. Índice de Desenvolvimento Humano Municipal.</t>
  </si>
  <si>
    <t>Maria Elisabeth dos Santos Rodrigues</t>
  </si>
  <si>
    <t>2013-14</t>
  </si>
  <si>
    <t>Crise financeira. Mercado de Capitais. Bovespa.</t>
  </si>
  <si>
    <t>Joise Castro dos Santos Magnavita</t>
  </si>
  <si>
    <t>2013-15</t>
  </si>
  <si>
    <t>Jovem. Inserção. Mercado de trabalho. Qualificação profissional. Aprendiz Legal.</t>
  </si>
  <si>
    <t>Queila Moura Ferreira</t>
  </si>
  <si>
    <t>2013-16</t>
  </si>
  <si>
    <t>SFH. CEF. Agência Ilhéus. Correspondente Bancário. Financiamento Habitacional.</t>
  </si>
  <si>
    <t>Daphne Sousa de Abreu</t>
  </si>
  <si>
    <t>2013-17</t>
  </si>
  <si>
    <t>Bancarização, Crédito, Infraestrutura e Inclusão financeira.</t>
  </si>
  <si>
    <t>Dailson Andrade Barreto</t>
  </si>
  <si>
    <t>2013-18</t>
  </si>
  <si>
    <t>Evasão Estudantil, Cotas, Ensino Superior, Ações Afirmativas.</t>
  </si>
  <si>
    <t>Camila Pereira Nobre</t>
  </si>
  <si>
    <t>2013-19</t>
  </si>
  <si>
    <t>Preços, Braskem, Previsão, ARIMA.</t>
  </si>
  <si>
    <t>Josiele Ferreira do Nascimento</t>
  </si>
  <si>
    <t>2013-20</t>
  </si>
  <si>
    <t>José Valmir da Silva</t>
  </si>
  <si>
    <t>2013-21</t>
  </si>
  <si>
    <t>Pescadores artesanais, aspectos socioeconômicos, São Miguel.</t>
  </si>
  <si>
    <t>Aquino Almeida de Oliveira</t>
  </si>
  <si>
    <t>2013-22</t>
  </si>
  <si>
    <t>Praia da Coroinha, disposição a pagar, munícipes.</t>
  </si>
  <si>
    <t>Thais Carolina Santos Frossard</t>
  </si>
  <si>
    <t>2013-23</t>
  </si>
  <si>
    <t>Reserva de Vagas. Afrodescendentes. Vestibular.</t>
  </si>
  <si>
    <t>Wilton Macedo Santos</t>
  </si>
  <si>
    <t>2013-24</t>
  </si>
  <si>
    <t>Pólo de Informática de Ilhéus. Políticas Públicas. Desenvolvimento Econômico. Intervenção do Estado</t>
  </si>
  <si>
    <t>Jéssica Matos dos Santos</t>
  </si>
  <si>
    <t>2013-25</t>
  </si>
  <si>
    <t>Diferença salarial; Mercado de trabalho; Discriminação; Gênero.</t>
  </si>
  <si>
    <t>Marismone Silva Brito</t>
  </si>
  <si>
    <t>2013-26</t>
  </si>
  <si>
    <t>Pobreza, Políticas sociais, Assistência social, Transferências constitucionais.</t>
  </si>
  <si>
    <t>Fabrícia Mendes dos Santos</t>
  </si>
  <si>
    <t>2013-27</t>
  </si>
  <si>
    <t>Educação financeira. Curso de Ciências Econômicas. Índice de Educação Financeira.</t>
  </si>
  <si>
    <t>Romeu da Silva Lima</t>
  </si>
  <si>
    <t>2013-28</t>
  </si>
  <si>
    <t>Microempreendedores individuais. MEI.</t>
  </si>
  <si>
    <t>Rui Batista dos Santos</t>
  </si>
  <si>
    <t>Priscila de Queiróz Leal</t>
  </si>
  <si>
    <t>2013-29</t>
  </si>
  <si>
    <t>Economia Brasileira. Plano Real. Desenvolvimento.</t>
  </si>
  <si>
    <t>Diogo Antonio da Silva Monteiro</t>
  </si>
  <si>
    <t>Mauro José Mota Cedraz</t>
  </si>
  <si>
    <t>2013-30</t>
  </si>
  <si>
    <t>Políticas públicas. Setor agrícola. Itabuna-Ba. Cacau. PAA.</t>
  </si>
  <si>
    <t>Thays Silva De Matos</t>
  </si>
  <si>
    <t>2013-31</t>
  </si>
  <si>
    <t>Mercado de Capitais. Governança Corporativa. Níveis Diferenciados.</t>
  </si>
  <si>
    <t>Ricardo Junior Santana Costa</t>
  </si>
  <si>
    <t>2013-32</t>
  </si>
  <si>
    <t>População. Domicílios. Saneamento Básico</t>
  </si>
  <si>
    <t>Simone Oliveira dos Santos</t>
  </si>
  <si>
    <t>2013-33</t>
  </si>
  <si>
    <t>Arrecadações Próprias. FPM. Descentralização.</t>
  </si>
  <si>
    <t>Vívia Melo de Souza</t>
  </si>
  <si>
    <t>2013-34</t>
  </si>
  <si>
    <t>IDH, desenvolvimento socioeconômico e Una-BA.</t>
  </si>
  <si>
    <t>Carla Rodrigues Pereira</t>
  </si>
  <si>
    <t>Carlos Eduardo Ribeiro Santos</t>
  </si>
  <si>
    <t>2013-35</t>
  </si>
  <si>
    <t>Desenvolvimento econômico; Indústria; Política industrial brasileira.</t>
  </si>
  <si>
    <t>Rita de Cássia Santos Borges</t>
  </si>
  <si>
    <t>2013-36</t>
  </si>
  <si>
    <t xml:space="preserve">Título Público. Poupança. </t>
  </si>
  <si>
    <t>Natália Carolina Souza Santos</t>
  </si>
  <si>
    <t>2013-37</t>
  </si>
  <si>
    <t>Fluxo turístico; Demanda turística; Economia do turismo.</t>
  </si>
  <si>
    <t>Leandro Batista Duarte</t>
  </si>
  <si>
    <t>2013-38</t>
  </si>
  <si>
    <t>Associativismo, Desenvolvimento local, Economia solidária.</t>
  </si>
  <si>
    <t>Washington Kennedy Novais Rocha</t>
  </si>
  <si>
    <t>2013-39</t>
  </si>
  <si>
    <t>Polo de crescimento; Economia regional; Especialização; Concentração.</t>
  </si>
  <si>
    <t xml:space="preserve">Deycon Viana Sousa </t>
  </si>
  <si>
    <t>2013-40</t>
  </si>
  <si>
    <t>Empréstimo consignado; Aposentados e pensionistas; Previdência Social</t>
  </si>
  <si>
    <t>Luana Costa da Paixão</t>
  </si>
  <si>
    <t>2013-41</t>
  </si>
  <si>
    <t>Sazonalidade-preço. Tomate. Cesta Básica</t>
  </si>
  <si>
    <t>Katiúcia Mavin Oliveira Costa</t>
  </si>
  <si>
    <t>2013-42</t>
  </si>
  <si>
    <t>Mercado, políticas públicas, comercialização.</t>
  </si>
  <si>
    <t>Thalles Clay Correia Vieira</t>
  </si>
  <si>
    <t>2013-43</t>
  </si>
  <si>
    <t>Fundo de Participação dos Municípios.Receitas e despesas públicas.</t>
  </si>
  <si>
    <t>Jozélia Alves Santos dos Santos</t>
  </si>
  <si>
    <t>2013-44</t>
  </si>
  <si>
    <t>Competitividade. Inovação. Setor automotivo.</t>
  </si>
  <si>
    <t>Adílio Rogério dos Reis</t>
  </si>
  <si>
    <t>2013-45</t>
  </si>
  <si>
    <t>Método quase-renda, custos, receita, economia ambiental</t>
  </si>
  <si>
    <t>Júlio César Santos de Lucena</t>
  </si>
  <si>
    <t>2013-46</t>
  </si>
  <si>
    <t>Mercado de trabalho, Participação Feminina na renda do lar , Determinantes do Ingresso.</t>
  </si>
  <si>
    <t>Amália Latrilha Moura</t>
  </si>
  <si>
    <t>2013-47</t>
  </si>
  <si>
    <t>Desempenho. MERCOSUL. Comércio Internacional. Integração. Relações Comerciais.</t>
  </si>
  <si>
    <t>Marina Alessandra Santos Vasconcelos</t>
  </si>
  <si>
    <t>2013-48</t>
  </si>
  <si>
    <t>Mercado Imobiliário; Imóveis verticais; Financiamento habitacional.</t>
  </si>
  <si>
    <t>Sheila Oliveira Souza</t>
  </si>
  <si>
    <t>2013-49</t>
  </si>
  <si>
    <t>Consumo de Eletricidade, Índice de Sauerbeck e Crescimento Econômico.</t>
  </si>
  <si>
    <t>Daiane Saraiva Sá</t>
  </si>
  <si>
    <t>2013-50</t>
  </si>
  <si>
    <t>Bahia. Programas de transferência de renda. Programa Bolsa Família. Benefício de Prestação Continuada.</t>
  </si>
  <si>
    <t>Raquel Monteiro de Lemos</t>
  </si>
  <si>
    <t>2013-51</t>
  </si>
  <si>
    <t>Soja. Geração de divisas. Concentração.</t>
  </si>
  <si>
    <t>Tainar Silva Dória</t>
  </si>
  <si>
    <t>2013-52</t>
  </si>
  <si>
    <t>Bens culturais, bens fonográficos, estilos musicais, pirataria, consumo.</t>
  </si>
  <si>
    <t>Anaires da Silva Santos</t>
  </si>
  <si>
    <t>2013-53</t>
  </si>
  <si>
    <t>Serviços. Empresas de Beleza. Empresas Formais e Informais. Centro. Periferia. Itabuna-Bahia.</t>
  </si>
  <si>
    <t>Aline Ferreira dos Santos</t>
  </si>
  <si>
    <t>2013-54</t>
  </si>
  <si>
    <t>Economia Doméstica</t>
  </si>
  <si>
    <t>Endividamento, Planejamento, Educação Financeira, Crédito.</t>
  </si>
  <si>
    <t>Leonardo Araki Berbert Araújo</t>
  </si>
  <si>
    <t>2013-55</t>
  </si>
  <si>
    <t>Desenvolvimento econômico, crescimento econômico, urbanização, Índice de acesso, qualidade de vida.</t>
  </si>
  <si>
    <t>Viviane Melo de Souza</t>
  </si>
  <si>
    <t>2013-56</t>
  </si>
  <si>
    <t>Mercado imobiliário, preços hedônicos, variáveis ambientais.</t>
  </si>
  <si>
    <t>Cláudia Santos Costa dos Santos</t>
  </si>
  <si>
    <t>2013-57</t>
  </si>
  <si>
    <t>Previdência Social, repasses, benefícios.</t>
  </si>
  <si>
    <t>Giuliana Oliveira Ribeiro Santos</t>
  </si>
  <si>
    <t>2014-01</t>
  </si>
  <si>
    <t>Salário. Superexploração. Condições de vida.</t>
  </si>
  <si>
    <t>Rhaissa Leão Freitas</t>
  </si>
  <si>
    <t>2014-02</t>
  </si>
  <si>
    <t>Liberdade. Exploração. Capitalismo.</t>
  </si>
  <si>
    <t>Luciana Porto Pinto Aoni</t>
  </si>
  <si>
    <t>2014-03</t>
  </si>
  <si>
    <t>Responsabilidade Social; indicadores Ethos; gestão empresarial.</t>
  </si>
  <si>
    <t>Taíse Marcelino da Cruz</t>
  </si>
  <si>
    <t>2014-04</t>
  </si>
  <si>
    <t>Economia política; política econômica; liberalismo econômico; escravismo; comércio.</t>
  </si>
  <si>
    <t>Vinícius Silva Gondim</t>
  </si>
  <si>
    <t>2014-05</t>
  </si>
  <si>
    <t>Racionalidade maximizadora. Racionalidade limitada. Irracionalidade.</t>
  </si>
  <si>
    <t>Adriana Reis dos Santos</t>
  </si>
  <si>
    <t>2014-06</t>
  </si>
  <si>
    <t>Pobreza. Políticas sociais. Transferência de renda. Segurança alimentar.</t>
  </si>
  <si>
    <t>Cristiana Ferreira dos Santos</t>
  </si>
  <si>
    <t>2014-07</t>
  </si>
  <si>
    <t>Economia Solidária. Autogestão. Políticas Públicas. Desenvolvimento Local. Inclusão Social. Geração de Renda.</t>
  </si>
  <si>
    <t>Manuela Souza Ribeiro</t>
  </si>
  <si>
    <t>2014-08</t>
  </si>
  <si>
    <t>Cana-de-açúcar. Etanol. Comercialização.</t>
  </si>
  <si>
    <t>Cristiane Melo Brandão</t>
  </si>
  <si>
    <t>2014-09</t>
  </si>
  <si>
    <t>Crescimento econômico. Desigualdades econômicas regionais. Convergência de Renda.</t>
  </si>
  <si>
    <t>Alexsandro Oliveira Barbosa</t>
  </si>
  <si>
    <t>Ricardo Candéa Sá Barreto</t>
  </si>
  <si>
    <t>2014-10</t>
  </si>
  <si>
    <t>Mercado de Capitais, Novo Mercado, Índices Financeiros.</t>
  </si>
  <si>
    <t>Paulo Richard Guedes da Silva</t>
  </si>
  <si>
    <t>2014-11</t>
  </si>
  <si>
    <t>Cooperativismo</t>
  </si>
  <si>
    <t>Comunidade, Cooperativismo, Mariscos.</t>
  </si>
  <si>
    <t>Rita Conceição Marques Lima</t>
  </si>
  <si>
    <t>2014-12</t>
  </si>
  <si>
    <t>Planejamento Financeiro. Endividamento. Jovem Universitário. Cartão de Crédito.</t>
  </si>
  <si>
    <t>Marcello Ferreira Maciel Monteiro</t>
  </si>
  <si>
    <t>2014-13</t>
  </si>
  <si>
    <t>Cooperativismo. Cooperativa de crédito. Indicadores de viabilidade.</t>
  </si>
  <si>
    <t>José Saturnino de Lima Júnior</t>
  </si>
  <si>
    <t>2014-14</t>
  </si>
  <si>
    <t>Micro Empreendedor Individual. Perfil. Empreendedor. Gestão Empresarial.</t>
  </si>
  <si>
    <t>Wendel Paulo dos Santos</t>
  </si>
  <si>
    <t>2014-15</t>
  </si>
  <si>
    <t>Desoneração tributária. Imposto sobre Produtos Industrializados. Fundo de Participação dos Municípios. Municípios do Sul da Bahia.</t>
  </si>
  <si>
    <t>Karla Gabriele Bahia dos Santos</t>
  </si>
  <si>
    <t>2014-16</t>
  </si>
  <si>
    <t>Lei de Responsabilidade Fiscal. Despesas Públicas. Poder Executivo Municipal. Índice de Responsabilidade Fiscal e Social. Ibirapitanga/BA.</t>
  </si>
  <si>
    <t>Vinícius Menezes Santos</t>
  </si>
  <si>
    <t>2014-17</t>
  </si>
  <si>
    <t>Religião. Economia. Ação Social. Terceiro Setor.</t>
  </si>
  <si>
    <t>Mariselma Rocha Matos</t>
  </si>
  <si>
    <t>2014-18</t>
  </si>
  <si>
    <t>Indicadores de competitividade. Comércio internacional. Economia brasileira.</t>
  </si>
  <si>
    <t>Renato Droguett Macedo</t>
  </si>
  <si>
    <t>2014-19</t>
  </si>
  <si>
    <t>Economia baiana; desempenho; exportações; crise europeia.</t>
  </si>
  <si>
    <t>Tamires dos Santos Calazans</t>
  </si>
  <si>
    <t>2014-20</t>
  </si>
  <si>
    <t>O papel do Estado. Getúlio.Juscelino. Institucionalismo.</t>
  </si>
  <si>
    <t>Isis Cardoso dos Santos Barreto</t>
  </si>
  <si>
    <t>2014-21</t>
  </si>
  <si>
    <t>Desenvolvimento Sustentável. Desenvolvimento Econômico. Nordeste. Biomas.</t>
  </si>
  <si>
    <t>Viviane Santos de Queiroz</t>
  </si>
  <si>
    <t>2014-22</t>
  </si>
  <si>
    <t>Ipiaú e Itagibá, Geração de Emprego, Mineração,  Aglomeração.</t>
  </si>
  <si>
    <t>Thaís Lorrane Da Silva Matos</t>
  </si>
  <si>
    <t>2014-23</t>
  </si>
  <si>
    <t>Crédito. Pessoa Física. Consumo. Classe C.</t>
  </si>
  <si>
    <t>Sebastião Firmino Lopes Filho</t>
  </si>
  <si>
    <t>2014-24</t>
  </si>
  <si>
    <t>Egoísmo; liberalismo; capitalismo; benefício público.</t>
  </si>
  <si>
    <t>Vanessa Carline Santos Freitas</t>
  </si>
  <si>
    <t>2014-25</t>
  </si>
  <si>
    <t>Brasil. Comércio Internacional. Balança Comercial. Teorias do Comércio Internacional. 1808-2010.</t>
  </si>
  <si>
    <t>Márcia Cristina da Silva Santana Muniz</t>
  </si>
  <si>
    <t>2014-26</t>
  </si>
  <si>
    <t>Redução de IPI. Percepção empresarial. Comércio varejista.</t>
  </si>
  <si>
    <t>Gilmar Céo da Silva</t>
  </si>
  <si>
    <t>2014-27</t>
  </si>
  <si>
    <t>Governo Dilma, Política fiscal, Política monetária, Política cambial, Papel do Estado.</t>
  </si>
  <si>
    <t>Lorena Silva dos Santos</t>
  </si>
  <si>
    <t>2014-28</t>
  </si>
  <si>
    <t>Capital humano, educação, trabalho, relações sociais de produção, alienação.</t>
  </si>
  <si>
    <t>Weiticha Oliveira Santa Fé</t>
  </si>
  <si>
    <t>2014-29</t>
  </si>
  <si>
    <t>Teoria Macroeconômica, Políticas Econômicas, Agregados Macroeconômicos, Brasil 1995-2014.</t>
  </si>
  <si>
    <t>Lucas Santana da Cruz</t>
  </si>
  <si>
    <t>2014-30</t>
  </si>
  <si>
    <t xml:space="preserve">Estado de Bem Estar Social, Educação, Habitação, Alimentação, Constituição Federal. </t>
  </si>
  <si>
    <t>Emerson Luís Pinto Oliveira</t>
  </si>
  <si>
    <t>2014-31</t>
  </si>
  <si>
    <t>Economia Cacaueira</t>
  </si>
  <si>
    <t>Vassoura-de-bruxa. Cacau. Lavoura. Técnicas. Crédito. Crise.</t>
  </si>
  <si>
    <t>Thiago Andrade Fontes</t>
  </si>
  <si>
    <t>2014-32</t>
  </si>
  <si>
    <t>Capitalismo. Consumo. Endividamento. Crédito.</t>
  </si>
  <si>
    <t>Martha Samilli Souza dos Santos</t>
  </si>
  <si>
    <t>2014-33</t>
  </si>
  <si>
    <t>Volatilidade, ARCH, ações, Braskem.</t>
  </si>
  <si>
    <t>Cláudia Cristal de Paiva Mota</t>
  </si>
  <si>
    <t>2014-34</t>
  </si>
  <si>
    <t>Modo de Produção Capitalista. Capitalismo. Mudança Social.</t>
  </si>
  <si>
    <t>Edvan Neres de Araújo</t>
  </si>
  <si>
    <t>2014-35</t>
  </si>
  <si>
    <t>Mineração, CFEM, Data Envelopment Analysis – DEA, Defasagem Distribuída Finita (DDF)</t>
  </si>
  <si>
    <t>Jéssica da Silva Cerqueira</t>
  </si>
  <si>
    <t>Adriano Alves de Rezende</t>
  </si>
  <si>
    <t>2014-36</t>
  </si>
  <si>
    <t>Associativismo</t>
  </si>
  <si>
    <t xml:space="preserve">Associativismo. Associação Corcovado. Desenvolvimento Local. </t>
  </si>
  <si>
    <t>Norma Cleia dos Santos Reis</t>
  </si>
  <si>
    <t>2014-37</t>
  </si>
  <si>
    <t>Biodiesel. Comercialização. Dendê.</t>
  </si>
  <si>
    <t>Luiz Henrique dos Santos Moura</t>
  </si>
  <si>
    <t>2014-38</t>
  </si>
  <si>
    <t>Degradação, Atuação Municipal, Instrumentos de Gestão Ambiental.</t>
  </si>
  <si>
    <t>Erlan Souza de Jesus</t>
  </si>
  <si>
    <t>2014-39</t>
  </si>
  <si>
    <t>Brasilgas, Comportamento do consumidor, mercado de gás.</t>
  </si>
  <si>
    <t>Diego Euclides da Silva Monteiro</t>
  </si>
  <si>
    <t>2014-40</t>
  </si>
  <si>
    <t>Bahia. Competitividade. Exportação.</t>
  </si>
  <si>
    <t>Ana Paula Assis Rocha</t>
  </si>
  <si>
    <t>2015-01</t>
  </si>
  <si>
    <t>Ações afirmativas. UESC. Diploma universitário.</t>
  </si>
  <si>
    <t>Luciene Maria Torquato Cerqueira Batista</t>
  </si>
  <si>
    <t>2015-02</t>
  </si>
  <si>
    <t>ANÁLISE HISTÓRICA DO REGIME DE METAS DE INFLAÇÃO NO BRASIL (2000-2014)</t>
  </si>
  <si>
    <t>Inflação.Taxa de juros. Metas de inflação</t>
  </si>
  <si>
    <t>Hosanielle Santos Nascimento</t>
  </si>
  <si>
    <t>2015-03</t>
  </si>
  <si>
    <t>ANÁLISE DA PARTICIPAÇÃO DO INVESTIDOR INDIVIDUAL NA BOLSA DE VALORES DE SÃO PAULO NO PERÍODO DE 2005 A 2014</t>
  </si>
  <si>
    <t>Investidor Individual. Mercado acionário. Participação.</t>
  </si>
  <si>
    <t>Laila Ranielli Almeida de Azevedo</t>
  </si>
  <si>
    <t>2015-04</t>
  </si>
  <si>
    <t>EVOLUÇÃO DO MERCADO DE SEGUROS BRASILEIRO DE 2001 A 2013</t>
  </si>
  <si>
    <t>Mercado de seguros. Evolução. Segmentos. Ramos</t>
  </si>
  <si>
    <t>Maiara Almeida dos Santos</t>
  </si>
  <si>
    <t>2015-05</t>
  </si>
  <si>
    <t>POLÍTICAS PÚBLICAS DE TRANSFERÊNCIA DIRETA DE RENDA NO BRASIL PÓS-2000: UMA ANÁLISE PARA O PBF, O BPC E A RMV</t>
  </si>
  <si>
    <t>Políticas públicas de transferência de renda. Desigualdade. Indicadores socioeconômicos.</t>
  </si>
  <si>
    <t>Vanessa Oliveira de Andrade</t>
  </si>
  <si>
    <t>2015-06</t>
  </si>
  <si>
    <t>ANÁLISE DA APLICABILIDADE DA CURVA DE PHILLIPS NA ECONOMIA BRASILEIRA (MARÇO/2002-DEZEMBRO/2014)</t>
  </si>
  <si>
    <t>Inflação, Desemprego, Curva de Phillips.</t>
  </si>
  <si>
    <t>Paulo Victor dos Santos Ferreira</t>
  </si>
  <si>
    <t>2015-07</t>
  </si>
  <si>
    <t>ESTRUTURA FUNDIÁRIA NOS TERRITÓRIOS DE IDENTIDADE NA BAHIA</t>
  </si>
  <si>
    <t>Estrutura fundiária. Territórios de Identidade. Índice de Gini.</t>
  </si>
  <si>
    <t>José Adriano da Conceição Santos</t>
  </si>
  <si>
    <t>2015-08</t>
  </si>
  <si>
    <t>A INDÚSTRIA DE POLPAS DE FRUTAS NO MUNICÍPIO DE UBATÃ-BA: UMA ANÁLISE PAUTADA EM INDICADORES DE LOCALIZAÇÃO E ESPECIALIZAÇÃO PARA O PERÍODO 2006-2013</t>
  </si>
  <si>
    <t>Ubatã-BA. Polpas de Frutas. Indústria. Indicadores de Localização. Indicadores de Especialização.</t>
  </si>
  <si>
    <t>Maria Érica Pereira de Souza</t>
  </si>
  <si>
    <t>2015-09</t>
  </si>
  <si>
    <t>PARTICIPAÇÃO DOS PROFISSIONAIS COM ENSINO SUPERIOR NO MERCADO DE TRABALHO DA REGIÃO METROPOLITANA DE SALVADOR - BA DE 1997 A 2014</t>
  </si>
  <si>
    <t>Mercado de trabalho. Nível de instrução. Ocupados. Desempregados. Rendimentos.</t>
  </si>
  <si>
    <t>Adiléia Oliveira Cardoso</t>
  </si>
  <si>
    <t>2015-10</t>
  </si>
  <si>
    <t>ANÁLISE DA DEMANDA POR ECONOMISTAS NA BAHIA ENTRE 2012 E 2014</t>
  </si>
  <si>
    <t>Economista. Bahia. Demanda. Mercado de trabalho.</t>
  </si>
  <si>
    <t>Midiã Alves Santos</t>
  </si>
  <si>
    <t>OS REFLEXOS DA POLÍTICA PÚBLICA FEDERAL IMPLEMENTADA EM 1995 NA ECONOMIA CACAUEIRA BAIANA</t>
  </si>
  <si>
    <t>Vassoura-de-bruxa. Cacau. Crédito. Crise.</t>
  </si>
  <si>
    <t>Angelo Cairo de Oliveira Neto</t>
  </si>
  <si>
    <t>A INFLUÊNCIA POSITIVA DA TEORIA ESTRUTURALISTA NAS DECISÕES DESENVOLVIMENTISTAS DOS GOVERNOS GETÚLIO VARGAS E JUSCELINO KUBITSCHEK NA ECONOMIA BRASILEIRA</t>
  </si>
  <si>
    <t>CEPAL. Teoria Estruturalista. Desenvolvimentismo. Getúlio Vargas. Juscelino Kubitschek.</t>
  </si>
  <si>
    <t>Matheus dos Santos Kruschewsky</t>
  </si>
  <si>
    <t>2015-13</t>
  </si>
  <si>
    <t>POLÍTICAS PÚBLICAS E A EXPANSÃO DO ACESSO AO ENSINO SUPERIOR PRIVADO NO BRASIL</t>
  </si>
  <si>
    <t>Políticas Públicas. Financiamento. Ensino Superior Privado.</t>
  </si>
  <si>
    <t>Suzana Santos dos Reis</t>
  </si>
  <si>
    <t>2015-14</t>
  </si>
  <si>
    <t>O ASSOCIATIVISMO PARA O FORTALECIMENTO DAS MICRO E PEQUENAS EMPRESAS: UM ESTUDO DE CASO DA REDEMEC, NO MUNICÍPIO DE ITABUNA-BAHIA</t>
  </si>
  <si>
    <t>Associativismo. Redemec. Desenvolvimento. Itabuna - BA. Central de negócios.</t>
  </si>
  <si>
    <t>Yve Lawreen Cezar Alves</t>
  </si>
  <si>
    <t>2015-15</t>
  </si>
  <si>
    <t>ANÁLISE DO RISCO FINANCEIRO PESSOAL DE ESTUDANTES DOS CURSOS DE ADMINISTRAÇÃO, ECONOMIA E CONTÁBEIS DA UESC</t>
  </si>
  <si>
    <t>Risco Financeiro Pessoal. Finanças Pessoais. UESC.</t>
  </si>
  <si>
    <t>Amanda Lima Ferreira</t>
  </si>
  <si>
    <t>2015-16</t>
  </si>
  <si>
    <t>ANÁLISE DA PRESTAÇÃO DOS SERVIÇOS DE ABASTECIMENTO DE ÁGUA E ESGOTAMENTO SANITÁRIO DA CIDADE DE ITABUNA-BAHIA</t>
  </si>
  <si>
    <t>Saneamento básico. Abastecimento de água. Esgotamento sanitário.Itabuna-BA.</t>
  </si>
  <si>
    <t>José Ricardo da Silva Marinho</t>
  </si>
  <si>
    <t>2015-17</t>
  </si>
  <si>
    <t>REFLEXÕES SOBRE O PROBLEMA ADAM SMITH: UMA REVISITA</t>
  </si>
  <si>
    <t>Simpatia; auto-interesse; amor próprio; divisão do trabalho; riqueza das Nações.</t>
  </si>
  <si>
    <t>Lázaro Sousa Varjão</t>
  </si>
  <si>
    <t>2015-18</t>
  </si>
  <si>
    <t>AS DIFERENTES NOÇÕES DE RIQUEZA NOS ESTÁGIOS DE EVOLUÇÃO DA HUMANIDADE</t>
  </si>
  <si>
    <t>Trabalho; valor; riqueza; pobreza.</t>
  </si>
  <si>
    <t>Pábula Santos Ribeiro</t>
  </si>
  <si>
    <t>2015-19</t>
  </si>
  <si>
    <t xml:space="preserve">QUALIDADE INSTITUICIONAL E DESEMPENHO ECONÔMICO: ANÁLISE EMPPÍRICA DOS MUNICÍPIOS BRASILEIROS </t>
  </si>
  <si>
    <t>Qualidade Institucional. Desenvolvimento. Municípios. Desigualdade. Brasil.</t>
  </si>
  <si>
    <t xml:space="preserve">Adrielli Santos de Santana </t>
  </si>
  <si>
    <t>2015-20</t>
  </si>
  <si>
    <t>ANÁLISE SOCIOECONOMICA DOS ASSOCIADOS DO BAIRRO NOVO DE PANELINHA, NO MUNICÍPIO DE CAMACAN, BAHIA: UMA PERSPECTIVA DE ECONOMIA SOLIDÁRIA</t>
  </si>
  <si>
    <t>Economia Solidária, Associativismo, Empreendedorismo Social</t>
  </si>
  <si>
    <t>Morjana Alves Pereira de Deus</t>
  </si>
  <si>
    <t>2015-22</t>
  </si>
  <si>
    <t>CAPITALISMO FINANCEIRO NO BRASIL: DESEMPENHO ECONÔMICO DOS BANCOS COMPARADO AO DE OUTRAS EMPRESAS DE CAPITAL ABERTO</t>
  </si>
  <si>
    <t>Capitalismo, desempenho, bancos, empresas, lucro, indicadores</t>
  </si>
  <si>
    <t>Tamiles Costa Guerra</t>
  </si>
  <si>
    <t>2015-23</t>
  </si>
  <si>
    <t>EFEITO DA TAXA DE CÂMBIO SOBRE AS EXPORTAÇÕES BRASILEIRAS PARA OS EUA, NO PERÍODO DE 1994 A 2013</t>
  </si>
  <si>
    <t>Economia internacional. shift-share. Balança comercial.</t>
  </si>
  <si>
    <t>Mário Aparecido Cardoso dos Santos</t>
  </si>
  <si>
    <t>2015-24</t>
  </si>
  <si>
    <t>ANÁLISE DA PRODUÇÃO DE SOJA DA BAHIA E A CONCENTRAÇÃO PRODUTIVA DO OESTE BAIANO</t>
  </si>
  <si>
    <t>Economia de Aglomeração. Concentração Produtiva</t>
  </si>
  <si>
    <t>José Jerônimo Alves dos Santos Júnior</t>
  </si>
  <si>
    <t>2015-27</t>
  </si>
  <si>
    <t xml:space="preserve">PRECIFICAÇÃO NO MERCADO DE AÇÕES BRASILEIRO NO PERIODO DE 2010 A 2015: ANÁLISE ENFOCANDO AS TEORIAS DAS FINANÇAS COMPORTAMENTAIS E DOS MERCADOS EFICIENTES </t>
  </si>
  <si>
    <t>Finanças Comportamentais. Mercados Eficientes. Volatilidade. ARCH</t>
  </si>
  <si>
    <t>Marcelo Willian dos Reis Silva</t>
  </si>
  <si>
    <t>2015-28</t>
  </si>
  <si>
    <t>ANÁLISE DA VIABILIDADE ECONÔMICO FINANCEIRA DA IMPLANTAÇÃO DE UMA EMPRESA DE OUTLET NO MUNICÍPIO DE ILHÉUS-BAHIA</t>
  </si>
  <si>
    <t>Outlet; Atividade empresarial; Viabilidade econômico financeira.</t>
  </si>
  <si>
    <t>Thassia Lopes Pereira</t>
  </si>
  <si>
    <t>2015-29</t>
  </si>
  <si>
    <t>CRÉDITO E COMPORTAMENTO DO CONSUMIDOR: UMA ANÁLISE DO USO DO CARTÃO DE CRÉDITO E A SUA INFLUÊNCIA SOBRE ESTUDANTES UNIVERSITÁRIOS DA UESC, ILHÉUS-BA</t>
  </si>
  <si>
    <t>Comportamento do consumidor. Cartão de crédito. UESC</t>
  </si>
  <si>
    <t>Emanuelle Teles Silva Santos</t>
  </si>
  <si>
    <t>2015-30</t>
  </si>
  <si>
    <t>EMPREGO E RENDA POR GÊNERO: UM ESTUDO COMPARATIVO DA PARTICIPAÇÃO FEMININA NO MERCADO DE TRABALHO ENTRE AS REGIÕES BRASILEIRAS</t>
  </si>
  <si>
    <t>Mercado de trabalho. Desigualdade de gênero. Economia brasileira.</t>
  </si>
  <si>
    <t>Elisama Aguiar Marques Santos Silva</t>
  </si>
  <si>
    <t>2015-31</t>
  </si>
  <si>
    <t>O SISTEMA DE CACAU CABRUCA NO MUNICÍPIO DE URUÇUCA (BAHIA)</t>
  </si>
  <si>
    <t>Sistema Agroflorestal. Cacau-cabruca. Diversificação na produção</t>
  </si>
  <si>
    <t>Clara Cristina dos Santos Gonçalves</t>
  </si>
  <si>
    <t>2015-32</t>
  </si>
  <si>
    <t>RELAÇÃO ENTRE CRESCIMENTO ECONÔMICO E DESEMPREGO NO BRASIL E NA BAHIA NA DÉCADA DE 1990 E 2000</t>
  </si>
  <si>
    <t>Crescimento econômico. Desemprego. Economia brasileira. Economia baiana.</t>
  </si>
  <si>
    <t>Flávio Barberino Ribeiro</t>
  </si>
  <si>
    <t>2015-33</t>
  </si>
  <si>
    <t>POLÍTICA PÚBLICA DE ACESSO A HABITAÇÃO: UMA ANÁLISE SOBRE O PROGRAMA MINHA CASA MINHA VIDA</t>
  </si>
  <si>
    <t>Déficit Habitacional, Habitação, Políticas Públicas, Programa Minha Casa Minha Vida.</t>
  </si>
  <si>
    <t>Thaís de Jesus Alcantara</t>
  </si>
  <si>
    <t>2015-34</t>
  </si>
  <si>
    <t>O DESEMPENHO DAS EXPORTAÇÕES DE UVA BRASILEIRA NO MERCADO INTERNACIONAL</t>
  </si>
  <si>
    <t>Produção de uva. Vantagem competitiva. Indicadores de competitividade</t>
  </si>
  <si>
    <t>Geisa Velozo Amaral</t>
  </si>
  <si>
    <t>2015-35</t>
  </si>
  <si>
    <t>POLÍTICA PÚBLICA AMBIENTAL DE RESÍDUOS SÓLIDOS: UMA ANÁLISE DO ATUAL PANORAMA POLÍTICO-LEGAL DOS ESTADOS NORDESTINOS</t>
  </si>
  <si>
    <t>Políticas públicas. Resíduos sólidos. Nordeste. Instrumentos de política ambiental</t>
  </si>
  <si>
    <t>Maicon Oliveira Santos</t>
  </si>
  <si>
    <t>2015-36</t>
  </si>
  <si>
    <t>MODELO RICARDIANO DE VANTAGENS COMPARATIVAS: UM PANORAMA DA LITERATURA EMPÍRICA</t>
  </si>
  <si>
    <t>Vantagens Comparativas; Testes Empíricos; Modelo Ricardiano</t>
  </si>
  <si>
    <t>Janfile Fernandes da Costa</t>
  </si>
  <si>
    <t>2015-37</t>
  </si>
  <si>
    <t xml:space="preserve">O PANORAMA DO PROGRAMA MINHA CASA MINHA VIDA NO MUNICÍPIO DE ITABUNA (BAHIA): ESTUDO DE CASO DO JARDIM AMÉRICA I </t>
  </si>
  <si>
    <t>Perfil Socioeconômico. Política Social. HIS. PMCMV.</t>
  </si>
  <si>
    <t>Fernanda Silva Vilas Bôas</t>
  </si>
  <si>
    <t>2015-38</t>
  </si>
  <si>
    <t>A COMPETITIVIDADE DO MINÉRIO DE FERRO BRASILEIRO: UMA ANÁLISE PARA OS ESTADOS DE MINAS GERAIS E PARÁ NO PERÍODO DE 1997 A 2015</t>
  </si>
  <si>
    <t>Minério de ferro; Pará; Minas Gerais; Competitividade; Indicadores.</t>
  </si>
  <si>
    <t>Reinaldo Joaquim dos Santos Dórea</t>
  </si>
  <si>
    <t>2015-40</t>
  </si>
  <si>
    <t>IMPACTOS POSITIVOS DA CRISE DE 1929 PARA OS DESTINOS DA CACAUICULTURA NA BAHIA</t>
  </si>
  <si>
    <t>Crise mundial de 1929. Instituto de Cacau da Bahia. Exportação de cacau.</t>
  </si>
  <si>
    <t>Kleber Nery Rocha</t>
  </si>
  <si>
    <t>2016-01</t>
  </si>
  <si>
    <t>O FLUXO TURISTICO INTERNACIONAL NA BAHIA NO PERÍODO DE 2005 A 2015</t>
  </si>
  <si>
    <t>Turismo Internacional</t>
  </si>
  <si>
    <t>Fluxo turístico. Turismo Emissor. Bahia</t>
  </si>
  <si>
    <t>Ruteléia Teles dos Santos Reis</t>
  </si>
  <si>
    <t>2016-02</t>
  </si>
  <si>
    <t>ANÁLISE DO RISCO DE CRÉDITO: um olhar sobre o risco intrínseco da carteira de crédito do Banco do Povo de Itabuna – Bahia, entre 2008 – 2014.</t>
  </si>
  <si>
    <t>Finanças</t>
  </si>
  <si>
    <t>Instituição Microfinanceira. Risco de Crédito</t>
  </si>
  <si>
    <t>Monique Tavares Viana</t>
  </si>
  <si>
    <t>2016-03</t>
  </si>
  <si>
    <t>AS FINANÇAS PÚBLICAS DO MUNICÍPIO DE ITABUNA-BA: uma análise da dívida pública entre os anos de 2004 - 2014</t>
  </si>
  <si>
    <t>Dívida Pública; Finanças públicas; Desequilíbrio fiscal</t>
  </si>
  <si>
    <t>Déborah Evelyn Xavier Laranjeira</t>
  </si>
  <si>
    <t>2016-04</t>
  </si>
  <si>
    <t>A POLÍTICA MACROECONÔMICA DO PRIMEIRO GOVERNO DILMA EM RETROSPECTIVA</t>
  </si>
  <si>
    <t>Governo Dilma; tripé macroeconômico; política econômica.</t>
  </si>
  <si>
    <t>Hudmila Oliveira Sousa do Nascimento</t>
  </si>
  <si>
    <t>2016-05</t>
  </si>
  <si>
    <t>ENSINO SUPERIOR PRIVADO NACIONAL: uma opção reafirmada na contemporaneidade da economia brasileira no século XXI</t>
  </si>
  <si>
    <t>Ensino Superior Privado. Desenvolvimento Humano. Qualidade Educacional.</t>
  </si>
  <si>
    <t>Karina Cardoso Esteves</t>
  </si>
  <si>
    <t>2016-06</t>
  </si>
  <si>
    <t>QUALIDADE DE VIDA E A INTERSETORIALIDADE DAS POLÍTICAS PÚBLICAS   DE SAÚDE E HABITAÇÃO  NO BRASIL: uma análise a partir da formulação dos programas PSF e PMCMV</t>
  </si>
  <si>
    <t>Políticas Públicas. Intersetorialidade. Qualidade de vida. PMCMV. PSF.</t>
  </si>
  <si>
    <t>Crycia Thaisnara de Almeida</t>
  </si>
  <si>
    <t>2016-07</t>
  </si>
  <si>
    <t>AGROINDÚSTRIA DE PAPEL E CELULOSE: uma análise das mudanças na estrutura socioeconômica do município de Mucuri – BA</t>
  </si>
  <si>
    <t>Economia Agroindustrial</t>
  </si>
  <si>
    <t>Complexos Agroindustriais. Expansão do Capital. Uso da Terra. Processo de Produção. Relações de Trabalho.</t>
  </si>
  <si>
    <t>Rivanna Maria Figueredo de Matos</t>
  </si>
  <si>
    <t>2016-08</t>
  </si>
  <si>
    <t>POLÍTICAS PÚBLICAS E TRANSFERÊNCIA DE RENDA NO BRASIL: análise das temáticas tratadas nas pesquisas acadêmicas sobre o Programa Bolsa Família</t>
  </si>
  <si>
    <t>Políticas públicas. Políticas sociais. Programa Bolsa Família.</t>
  </si>
  <si>
    <t>Tamires dos Santos Macedo</t>
  </si>
  <si>
    <t>2016-09</t>
  </si>
  <si>
    <t>RESPONSABILIDADE AMBIENTAL EMPRESARIAL: um estudo sobre as empresas da carteira do Índice de Sustentabilidade Empresarial (ISE) da BM&amp;FBOVESPA em 2016</t>
  </si>
  <si>
    <t>Economia dos Recursos Naturais</t>
  </si>
  <si>
    <t>Investidor. Segmentos. Stackeholders. Grau de responsabilidade ambiental empresarial.</t>
  </si>
  <si>
    <t>Samila Lins Araújo dos Santos</t>
  </si>
  <si>
    <t>2016-10</t>
  </si>
  <si>
    <t>O POLO DE INFORMÁTICA DE ILHÉUS:uma análise através de indicadores de Localização e Especialização produtiva para o período 1994-2015</t>
  </si>
  <si>
    <t>Políticas públicas. Polo de Informática de Ilhéus. Indicadores de localização. Indicadores de especialização.</t>
  </si>
  <si>
    <t>Alcimara Menezes de Oliveira</t>
  </si>
  <si>
    <t>2016-11</t>
  </si>
  <si>
    <t>ANÁLISE SOCIOECONÔMICA DOS MUNICÍPIOS QUE INTEGRAM O CONSÓRCIO INTERMUNICIPAL DA MATA ATLÂNTICA – CIMA</t>
  </si>
  <si>
    <t>Economia do desenvolvimento</t>
  </si>
  <si>
    <t>Desenvolvimento. CIMA. Análise Fatorial. Políticas Públicas</t>
  </si>
  <si>
    <t>João Emílio Souza Junior</t>
  </si>
  <si>
    <t>2016-12</t>
  </si>
  <si>
    <t>AS PERSPECTIVAS DO SETOR IMOBILIÁRIO BRASILEIRO: Uma previsão do índice IMOB a partir do modelo ARIMA ILHÉUS</t>
  </si>
  <si>
    <t>Mercado Imobiliário, Mercado de Capitais, IMOB, ARIMA.</t>
  </si>
  <si>
    <t>Edson Alves do Nascimento</t>
  </si>
  <si>
    <t>2016-13</t>
  </si>
  <si>
    <t>CARACTERÍSTICAS E EVIDÊNCIAS OBSERVADAS A RESPEITO DA GESTÃO PÚBLICA AMBIENTAL NO MUNICÍPIO DE PORTO SEGURO</t>
  </si>
  <si>
    <t>Economia de Meio Ambiente</t>
  </si>
  <si>
    <t>Gestão Pública Ambiental. Estrutura Ambiental Municipal. Instrumentos de Gestão Ambiental.</t>
  </si>
  <si>
    <t>Matheus Alef Pereira Santos</t>
  </si>
  <si>
    <t>2016-14</t>
  </si>
  <si>
    <t>NEGOCIAÇÕES PARA IMPLANTAÇÃO DO ACORDO DE LIVRE-COMÉRCIO ENTRE O MERCOSUL E A UNIÃO EUROPEIA</t>
  </si>
  <si>
    <t>MERCOSUL, União Europeia, Acordo de livre comercio.</t>
  </si>
  <si>
    <t>Cintia Silvania Santiago Lima</t>
  </si>
  <si>
    <t>2016-15</t>
  </si>
  <si>
    <t>ANÁLISE HISTÓRICA DAS PRÁTICAS DE MICROFINANÇAS SOLIDÁRIAS DO BANCO PALMAS, FORTALEZA - CE</t>
  </si>
  <si>
    <t xml:space="preserve">Microfinanças Solidárias </t>
  </si>
  <si>
    <t>Inclusão socioeconômica. Regulação social. Economia solidária. Desenvolvimento territorial.</t>
  </si>
  <si>
    <t>Tiago Moreira Dias de Medeiros Leite</t>
  </si>
  <si>
    <t>2016-16</t>
  </si>
  <si>
    <t>O PERFIL DA POBREZA NO BRASIL NO PERÍODO DE 1990 A 2014</t>
  </si>
  <si>
    <t xml:space="preserve">Desigualdade de renda; Pobreza; </t>
  </si>
  <si>
    <t>Laís Almeida de Azevedo</t>
  </si>
  <si>
    <t>2016-17</t>
  </si>
  <si>
    <t>ESTRUTURA DE CONSUMO DAS FAMÍLIAS BRASILEIRAS E SUA RELAÇÃO COM A TEORIA DE CICLO DE VIDA NOS ANOS DE 2002-2003 E 2008-2009</t>
  </si>
  <si>
    <t>Ciclos. Consumo. Poupança.</t>
  </si>
  <si>
    <t>Adriênne Amorim Mascarenhas Sena</t>
  </si>
  <si>
    <t>2016-18</t>
  </si>
  <si>
    <t>A INFLUÊNCIA DE FATORES MACROECONÔMICOS NA INTERNACIONALIZAÇÃO PRODUTIVA DAS EMPRESAS BRASILEIRAS NO PERÍODO 1995 A 2010</t>
  </si>
  <si>
    <t>Internacionalização. Investimento Direto. Mercado Internacional.</t>
  </si>
  <si>
    <t>Brisa Oliveira Moura</t>
  </si>
  <si>
    <t>2016-19</t>
  </si>
  <si>
    <t>ANÁLISE DA CADEIA DE PRODUÇÃO DA CACHAÇA BAIANA “ABAÍRA”</t>
  </si>
  <si>
    <t>Cachaça Abaíra. Indicação Geográfica. Notoriedade.</t>
  </si>
  <si>
    <t>Daliane Teixeira Silva</t>
  </si>
  <si>
    <t>2016-20</t>
  </si>
  <si>
    <t>DEBATES SOBRE O CONSUMIDOR: um estudo à luz das teorias neoclássica e institucional</t>
  </si>
  <si>
    <t>Teoria do Consumidor. Teoria Neoclássica. Velho Institucionalismo Econômico. Teoria Institucionalista.</t>
  </si>
  <si>
    <t>Guilherme Chaves Simões</t>
  </si>
  <si>
    <t>2016-21</t>
  </si>
  <si>
    <t>AS FRONTEIRAS DA SOJA: uma análise sobre a flexibilização da jornada de trabalho no campo</t>
  </si>
  <si>
    <t>Soja. Mais-valia. Precarização do trabalho.</t>
  </si>
  <si>
    <t>Adam Bittencourt Silva</t>
  </si>
  <si>
    <t>2016-22</t>
  </si>
  <si>
    <t>UMA INICIATIVA LOCAL DO MODELO DE ECONOMIA SOCIAL: o caso Valente, Bahia</t>
  </si>
  <si>
    <t>Economia</t>
  </si>
  <si>
    <t>Arranjo produtivo local. Capital social. Desenvolvimento local.</t>
  </si>
  <si>
    <t>Ualace Jesus dos Santos</t>
  </si>
  <si>
    <t>2016-23</t>
  </si>
  <si>
    <t>AGRICULTURA FAMILIAR DO TERRITÓRIO DE IDENTIDADE LITORAL SUL</t>
  </si>
  <si>
    <t>Agricultura Familiar, Território de Identidade, Litoral Sul</t>
  </si>
  <si>
    <t>Jocacia Araujo Pereira</t>
  </si>
  <si>
    <t>2016-24</t>
  </si>
  <si>
    <t>UM ESTUDO TEÓRICO SOBRE A  INOVAÇÃO: Suas dimensões e as perspectivas Shumpeteriana e  e de Nelson &amp; Winter</t>
  </si>
  <si>
    <t>Teoria Microeconômica</t>
  </si>
  <si>
    <t xml:space="preserve">Inovação. Desenvolvimento Econômico. Shumpeter. Nelson &amp; Winter </t>
  </si>
  <si>
    <t>Dieji Firmo Pereira</t>
  </si>
  <si>
    <t>2016-25</t>
  </si>
  <si>
    <t>INDICAÇÃO GEOGRÁFICA: diagnóstico de potencial para a farinha de Buerarema - BA</t>
  </si>
  <si>
    <t>Farinha de Mandioca. Indicação Geográfica. Buerarema.</t>
  </si>
  <si>
    <t>Náhira Brunelle Oliveira Cunha</t>
  </si>
  <si>
    <t>2016-26</t>
  </si>
  <si>
    <t>GESTÃO PÚBLICA AMBIENTAL: um estudo comparado dos casos dos municípios de Ipiaú e Itagibá na Bahia</t>
  </si>
  <si>
    <t>Meio ambiente. Gestão Pública. Instrumentos de Gestão. Poder Público. Degradação. Bens Públicos.</t>
  </si>
  <si>
    <t>Janequele Novais da Cruz</t>
  </si>
  <si>
    <t>Helga Dulce Bispo Passos</t>
  </si>
  <si>
    <t>2016-27</t>
  </si>
  <si>
    <t>CARACTERÍSTICAS SÓCIOECONÔMICAS DOS ASSENTADOS DE REFORMA AGRÁRIA NO MUNICÍPIO DE ITACARÉ - BA: um estudo de caso do projeto de assentamento pancada grande</t>
  </si>
  <si>
    <t>Reforma agrária. Assentamento. Diagnóstico Rural participativo.</t>
  </si>
  <si>
    <t>Célio Roberto Caroba</t>
  </si>
  <si>
    <t>2016-28</t>
  </si>
  <si>
    <t xml:space="preserve">A REDUÇÃO DO IPI NO BRASIL E O EMPLACAMENTO DE AUTOMÓVEIS DE PASSEIO NO PERÍODO 2003 A 2015 </t>
  </si>
  <si>
    <t>IPI. IPVA. Automóveis. Taxa de jurus. Mínimos Quadrados Ordinários (MQO).</t>
  </si>
  <si>
    <t>Aline Chaves Santos</t>
  </si>
  <si>
    <t>2016-29</t>
  </si>
  <si>
    <t>UMA ANÁLISE DA INCIDÊNCIA DO ICMS E DO IRPF SOBRE O ORÇAMENTO DAS FAMÍLIAS BAIANAS, ENTRE 2008 E 2009</t>
  </si>
  <si>
    <t>Tributação. Gasto alimentar. Setor Público.</t>
  </si>
  <si>
    <t>Gustavo de Oliveira Costa</t>
  </si>
  <si>
    <t>2016-30</t>
  </si>
  <si>
    <t>O MODELO PER: PRESSÃO-ESTADO-RESPOSTA) E INDICADORES DE SUSTENTABILIDADE PARA A GESTÃO AMBIENTAL: Uma perspectiva teórica</t>
  </si>
  <si>
    <t>Indicadores de sustentabilidade. Modelo PER. Desenvolvimento sustentável.</t>
  </si>
  <si>
    <t>Maria Luiza de Azevedo Ribeiro</t>
  </si>
  <si>
    <t>2016-31</t>
  </si>
  <si>
    <t>IMPACTOS SOCIOECONÔMICOS DA ATIVIDADE DE MINERAÇÃO COM ENFOQUE NA (MINERADORA MIRABELA): uma análise para os municípios de Itagibá e Ipiaú-Bahia</t>
  </si>
  <si>
    <t>Atividade mineral. Ipiaú. Itagibá. CFEM. Desenvolvimento socioeconômico.</t>
  </si>
  <si>
    <t>Lis Elane Souza dos Santos</t>
  </si>
  <si>
    <t>2016-32</t>
  </si>
  <si>
    <t>AÇÕES AFIRMATIVAS E O SISU: o acesso e a permanência do estudante cotista na Universidade Estadual de Santa Cruz</t>
  </si>
  <si>
    <t>Ações afirmativas. Cotas. SISU. Permanência.</t>
  </si>
  <si>
    <t>Dariana Leila Barros da Silva</t>
  </si>
  <si>
    <t>2017-01</t>
  </si>
  <si>
    <t>O PERFIL DOS BENEFICIÁRIOS E DAS FAMÍLIAS BENEFICIADAS PELO
PROGRAMA BOLSA FAMÍLIA NO MUNICÍPIO DE ILHÉUS-BAHIA</t>
  </si>
  <si>
    <t>Políticas Públicas</t>
  </si>
  <si>
    <t>Políticas Públicas. Programa Bolsa Família. Perfil dos beneficiários e famílias beneficiadas.</t>
  </si>
  <si>
    <t>Thárcylla de Luna Santos</t>
  </si>
  <si>
    <t>O PROGRAMA BOLSA FAMÍLIA E A EDUCAÇÃO DE BASE:uma reflexão sobre a condicionalidade educação nas regiões Nordeste e Sul do Brasil entre os anos de 2012 e 2016</t>
  </si>
  <si>
    <t>Políticas Públicas e Desigualdade Socioeconômica</t>
  </si>
  <si>
    <t>Políticas Públicas. Pobreza. Educação. Programa Bolsa Família. Condicionalidade.</t>
  </si>
  <si>
    <t>Cristian Arnecke Schroder</t>
  </si>
  <si>
    <t>2017-03</t>
  </si>
  <si>
    <t>PADRÃO DE VARIAÇÃO ESTACIONAL DOS PREÇOS DO CACAU NO BRASIL</t>
  </si>
  <si>
    <t>Economia agrícola. Sazonalidade. Preços do cacau.</t>
  </si>
  <si>
    <t>Lucas Augusto Porto Magalhães</t>
  </si>
  <si>
    <t>2017-04</t>
  </si>
  <si>
    <t>ANÁLISE SOCIOECONOMICA DO MUNICIPIO SÃO JOSÉ DA VITORIA - BA COM BASE NO DESENVOLVIMENTO LOCAL</t>
  </si>
  <si>
    <t>Inserção Econômica. Organização da Sociedade, Gestão Pública.</t>
  </si>
  <si>
    <t>Odejone Pereira Carvalho</t>
  </si>
  <si>
    <t>REGIME TECNOLOGICO E AMBIENTE DE INOVAÇÃO NA INDUSTRIA PETROQUÍMICA BRASILEIRA</t>
  </si>
  <si>
    <t>Petroquímica. Regime Tecnológico. Ambiente de Inovação</t>
  </si>
  <si>
    <t>Jéssica Silvina Marques de Matos</t>
  </si>
  <si>
    <t>A MUDANÇA DO COMPORTAMENTO MONETÁRIO DA POPULAÇÃO BRASILEIRA</t>
  </si>
  <si>
    <t>Meio de pagamento. Comportamento monetário. Depositos a vista. Papel moeda em poder publico. Brasil</t>
  </si>
  <si>
    <t>Jesiel da Costa damacena Filho</t>
  </si>
  <si>
    <t>O TERRORISMO COMO PRODUTO DO IMPERALISMO</t>
  </si>
  <si>
    <t>Economia Política Internaciona</t>
  </si>
  <si>
    <t>Economia Política. Imperialismo. Materialismo. Terrorismo</t>
  </si>
  <si>
    <t>Yuri Pires de Oliveira</t>
  </si>
  <si>
    <t>AGRICULTURA FAMILIAR NA MICRORREGIÃO ILHÉUS-ITABUNA: uma análise do bem-estar dos produtores rurais agroecológicos e convencionais</t>
  </si>
  <si>
    <t>Sustentabilidade. Meio ambiente. Cacau. Satisfação</t>
  </si>
  <si>
    <t>Monick Midlej do espirito Santo</t>
  </si>
  <si>
    <t>COMPETITIVIDADE DA CAFEICULTURA BRASILEIRA NO MERCADO INTERNACIONAL  DE CAFÉ, DE 1997 A 2013</t>
  </si>
  <si>
    <t>Comércio Internacional. Competitividade. Balança comercial.</t>
  </si>
  <si>
    <t>Geise Souza Chaves Muniz</t>
  </si>
  <si>
    <t>BOLSA FAMILIA E ESTRUTURA SOCIOECONOMICA: uma análise para os municípios baianos em 2016</t>
  </si>
  <si>
    <t>Bolsa Família. Análise Socioeconômica. Transferência de Renda.</t>
  </si>
  <si>
    <t>Adriana Batista Cardoso de Jesus</t>
  </si>
  <si>
    <t xml:space="preserve">Carlos Eduardo Iwaí Drumond
</t>
  </si>
  <si>
    <t>POLÍTICA MACROECONÔMICA NO BRASIL (2003-2014): ruptura e adoção da nova matriz econômica</t>
  </si>
  <si>
    <t>Teoria Macroeconômica</t>
  </si>
  <si>
    <t>Nova Matriz Econômica; tripé macroeconômico; política macroeconômica.</t>
  </si>
  <si>
    <t>Ionah Cristina Veiga Santos Dias</t>
  </si>
  <si>
    <t>FINANCIAMENTO DA EDUCAÇÃO E TRANSFERENCIA DIREITA DE RENDA: uma análise sobre o IFDM-E e o IDEB para a mesorregião Sul da Bahia entre os anos de 2007 e 2013</t>
  </si>
  <si>
    <t>Economia da Educação e Políticas Públicas</t>
  </si>
  <si>
    <t>Capital Humano.Educação. Financiamento. Mesorregião do sul da Bahia. Politicas Publicas.</t>
  </si>
  <si>
    <t>Igor Santos Aquino</t>
  </si>
  <si>
    <t>2017-13</t>
  </si>
  <si>
    <t>CAPITAL HUMANO, INSTITUIÇÕES E CONVERGENCIAS DE RENDA NOS MUNICIPIOS BAIANOS:uma abordagem de regressões quantílicas para o período 2000 e 2010</t>
  </si>
  <si>
    <t>Crescimento Econômico. Teoria do Capital Humano. Instituições. Regressões Quantílicas.</t>
  </si>
  <si>
    <t>Ingrid de Jesus Duarte</t>
  </si>
  <si>
    <t>2017-14</t>
  </si>
  <si>
    <t>FATORES DE CRESCIMENTO E DA COMPETITIVIDADE DAS EXPORTAÇÕES DE AMÊNDOAS CACAU DA BAHIA E DO PARA, ENTRE 1997 E 2016</t>
  </si>
  <si>
    <t>Cacauicultura brasileira.Competitividade das exportações. Shift-share</t>
  </si>
  <si>
    <t>Jerfraim Argolo Santos</t>
  </si>
  <si>
    <t>2017-15</t>
  </si>
  <si>
    <t>GESTÃO PÚBLICA MUNICIPAL: uma análise da composição das receitas municipais, o caso de Ibicaraí-BA no período de 2010 a 2015</t>
  </si>
  <si>
    <t>Orçamento Público; Receitas; Contas municipais</t>
  </si>
  <si>
    <t>Flávio de Oliveira Campos</t>
  </si>
  <si>
    <t>2017-16</t>
  </si>
  <si>
    <t>UMA ANÁLISE DO DESEMPENHO DAS EXPORTAÇÕES BAIANAS DE PAPEL E CELULOSE ENTRE 1997 E 2016</t>
  </si>
  <si>
    <t>Setor de papel e celulose. Indicadores de competitividade. Economia baiana.</t>
  </si>
  <si>
    <t>Bruna Andrade Santos</t>
  </si>
  <si>
    <t>2017-17</t>
  </si>
  <si>
    <t>PADRÕES DE ESPECIALIZAÇÃO E COMPETITIVIDADE: uma análise das exportações brasileiras de amêndoas e derivados de cacau (1990-2013)</t>
  </si>
  <si>
    <t>Economia Internacional.</t>
  </si>
  <si>
    <t>Segmento cacaueiro; Vantagem Comparativa Revelada; Comércio Intraindústria; Market-share; Comércio Internacional.</t>
  </si>
  <si>
    <t>Ronisson Lucas Calmon da Conceição</t>
  </si>
  <si>
    <t>2017-18</t>
  </si>
  <si>
    <t>CAPACIDADE INOVATIVA E DE COMPETITIVIDADE DO APL SISALEIRO DA BAHIA, NO ANO DE 2015</t>
  </si>
  <si>
    <t>Arranjo Produtivo Local. Inovação. Competitividade. Sisal.</t>
  </si>
  <si>
    <t>Elane Gonçalves de Souza</t>
  </si>
  <si>
    <t>2017-19</t>
  </si>
  <si>
    <t>PANORAMA DOS PROJETOS DE MECANISMO  DE DESENVOLVIMENTO LIMPO DOS ESTADOS NODESTINOS NO MERCADO REGULADO DE CARBONO</t>
  </si>
  <si>
    <t>Economia ambiental. Mudanças Climáticas. Gases de Efeito Estufa. Protocolo de Kyoto. Reduções Certificadas de Emissão. Energia Eólica.</t>
  </si>
  <si>
    <t>Ledson Freire Santos</t>
  </si>
  <si>
    <t>2017-20</t>
  </si>
  <si>
    <t>UM ESTUDO EMPÍRICO DAS ESTRUTURAS DE GOVERNANÇA: o caso da Companhia Independente da Polícia Militar de Itacaré-BA</t>
  </si>
  <si>
    <t>Economia Industrial.</t>
  </si>
  <si>
    <t>Custos de Transação. Nova Economia Institucional.Estruturas de Governança.Companhia Independente da Polícia Militar de Itacaré-BA.</t>
  </si>
  <si>
    <t>Giovanne Gomes Silveira</t>
  </si>
  <si>
    <t>2017-21</t>
  </si>
  <si>
    <t>ANÁLISE DO EMPREGO FORMAL E INFORMAL NO TURISMO DO NORDESTE BRASILEIRO NO PERÍODO 2006-2015</t>
  </si>
  <si>
    <t>Turismo. Economia. Emprego formal e informal. ACT's.</t>
  </si>
  <si>
    <t xml:space="preserve">Mariusa Santos Miranda  </t>
  </si>
  <si>
    <t xml:space="preserve">Carla Regina Ferreira Freire Guimarães
</t>
  </si>
  <si>
    <t>2017-22</t>
  </si>
  <si>
    <t>REESTRUTURAÇÃO PRODUTIVA E PRECARIZAÇÃO DO TRABALHO BANCÁRIO NO BRASIL, A PARTIR DE 1990</t>
  </si>
  <si>
    <t>Imperialismo. Trabalho. Degradação. Bancário.</t>
  </si>
  <si>
    <t>Andréa Vieira Neres</t>
  </si>
  <si>
    <t>2017-23</t>
  </si>
  <si>
    <t>DEBATES SOBRE A FIRMA NA CIÊNCIA ECONÔMICA: uma revisão à luz das Teorias Neoclássica e dos Custos de Transação</t>
  </si>
  <si>
    <t xml:space="preserve">Pensamento Econômico. Teoria Neoclássica. Custos de Transação. </t>
  </si>
  <si>
    <t>Aliete Sales dos Santos</t>
  </si>
  <si>
    <t>2017-24</t>
  </si>
  <si>
    <t>INSTITUIÇÕES E DESENVOLVIMENTO NO NORDESTE BRASILEIRO SOB A PERSPECTIVA DA TEORIA DE DOLGLASS NORTH: a influência das organizações políticas.</t>
  </si>
  <si>
    <t>Economia Institucional. Douglass North. Nordeste brasileiro. Desenvolvimento. Organizações políticas.</t>
  </si>
  <si>
    <t>Nilson Andrade Santos Filho</t>
  </si>
  <si>
    <t>2017-25</t>
  </si>
  <si>
    <t>AGRICULTURA URBANA NO BRASIL: reflexões sobre um horizonte para o desenvolvimento sustentável nas cidades</t>
  </si>
  <si>
    <t>Agricultura Urbana</t>
  </si>
  <si>
    <t>Agricultura Urbana; Políticas Públicas; Desenvolvimento sustentável.</t>
  </si>
  <si>
    <t>Jessica Alves de Souza</t>
  </si>
  <si>
    <t>2017-26</t>
  </si>
  <si>
    <t>ANÁLISE DA POLÍTICA FISCAL E SEUS DESDOBRAMENTOS NAS CONTAS PÚBLICAS DO BRASIL NO PERÍODO DE 2003 A 2016</t>
  </si>
  <si>
    <t>Política Fiscal e Finanças Públicas</t>
  </si>
  <si>
    <t>Política fiscal. Dívida pública. Ajuste fiscal. Superávit Primário. Investimento.</t>
  </si>
  <si>
    <t>Alana Reis dos santos</t>
  </si>
  <si>
    <t>2017-27</t>
  </si>
  <si>
    <t>CRESCIMENTO ECONÔMICO E DESENVOLVIMENTO SUSTENTÁVEL NO BRASIL A PARTIR DA DÉCADA DE 1970</t>
  </si>
  <si>
    <t>Desenvolvimento Econômico Ambiental</t>
  </si>
  <si>
    <t>Crescimento econômico. Desenvolvimento. Meio ambiente. Desenvolvimento sustentável.</t>
  </si>
  <si>
    <t>Luyza Gabrielly Cruz Brandão</t>
  </si>
  <si>
    <t>2017-28</t>
  </si>
  <si>
    <t>REESTRUTURAÇÃO PRODUTIVA NO SETOR INDUSTRIAL AUTOMOBILÍSTICO BRASILEIRO NO PERÍODO DE 1990-2016: o desempenho tecnológico</t>
  </si>
  <si>
    <t>Economia da Tecnologia</t>
  </si>
  <si>
    <t>Inovação Tecnológica. Setor Automotivo. Produtividade.</t>
  </si>
  <si>
    <t>Geovanny dos Santos Santos</t>
  </si>
  <si>
    <t xml:space="preserve">Adriano Alves de Rezende.
</t>
  </si>
  <si>
    <t>2017-29</t>
  </si>
  <si>
    <t xml:space="preserve">EVOLUÇÃO DAS POLÍTICAS AMBIENTAIS NO BRASIL PÓS ECO-92
</t>
  </si>
  <si>
    <t>Economia Ambiental</t>
  </si>
  <si>
    <t>Desenvolvimento Sustentável. Políticas Públicas. Meio Ambiente. Economia Ambiental.</t>
  </si>
  <si>
    <t>Lara Santana Pinto</t>
  </si>
  <si>
    <t>2017-30</t>
  </si>
  <si>
    <t>O PAPEL DO BNDES NO PROCESSO DE DESENVOLVIMENTO ECONÔMICO BRASILEIRO: uma análise pelos eixos de financiamento entre 2000 e 2016</t>
  </si>
  <si>
    <t>Financiamento do Desenvolvimento</t>
  </si>
  <si>
    <t>Brasil. BNDES. Financiamento do Desenvolvimento. Desembolsos setoriais.</t>
  </si>
  <si>
    <t>Vilma Gomes Santos Melgaço</t>
  </si>
  <si>
    <t>2017-31</t>
  </si>
  <si>
    <t>A CAMACÃ PÓS CRISE DO CACAU: um diagnóstico socioeconômico contemporâneo</t>
  </si>
  <si>
    <t>Contabilidade Social / Desenvolvimento Regional</t>
  </si>
  <si>
    <t>Camacã. Sul da Bahia. Camacã Hoje. Diagnóstico Socioeconômico.</t>
  </si>
  <si>
    <t>Amanda Menezes Alves</t>
  </si>
  <si>
    <t>2017-32</t>
  </si>
  <si>
    <t>POLÍTICAS MONETÁRIAS PARA O CONTROLE DA INFLAÇÃO, NO BRASIL, ENTRE 2003 E 2015</t>
  </si>
  <si>
    <t>Regime de Metas. Políticas Monetárias. Inflação.</t>
  </si>
  <si>
    <t>Silvia Beatriz de Miranda Freire</t>
  </si>
  <si>
    <t xml:space="preserve">Adriano Alves de Rezende
</t>
  </si>
  <si>
    <t>2017-33</t>
  </si>
  <si>
    <t>PARTICIPAÇÃO DA PRODUÇÃO DO CAFÉ BAIANO NA BALANÇA COMERCIAL: Uma análise comparativa a partir da produção do estado da Bahia, no período de 2005 a 2017</t>
  </si>
  <si>
    <t>Economia e Comércio Internacional</t>
  </si>
  <si>
    <t>Café. Agroindústria. Bahia</t>
  </si>
  <si>
    <t>Daniela Aparecida Dias de Carvalho</t>
  </si>
  <si>
    <t>2017-34</t>
  </si>
  <si>
    <t>OS DESAFIOS DAS EMPRESAS LOCALIZADAS NO POLO DE INFORMÁTICA DE ILHÉUS-BA</t>
  </si>
  <si>
    <t>Polo de Informática; Interiorização do Desenvolvimento;
Desenvolvimento Regional; Economia Baiana; Políticas Públicas</t>
  </si>
  <si>
    <t>Luciene Santana da Silva</t>
  </si>
  <si>
    <t>2017-35</t>
  </si>
  <si>
    <t>ANÁLISE DO DESENVOLVIMENTO DE PORTO SEGURO:evidências empíricas através da avaliação de indicadores socioeconômicos (1990 – 2015)</t>
  </si>
  <si>
    <t>Desenvolvimento Socioeconômico. Turismo. Porto Seguro</t>
  </si>
  <si>
    <t>Vivaldo Leite de Matos Junior</t>
  </si>
  <si>
    <t xml:space="preserve">Sócrates Jacobo Moquete Guzmán
</t>
  </si>
  <si>
    <t>2017-36</t>
  </si>
  <si>
    <t>POLÍTICA E GESTÃO PÚBLICAS AMBIENTAIS: um diagnóstico da situação dos municípios baianos.</t>
  </si>
  <si>
    <t>Desenvolvimento sustentável. Política Ambiental. Gestão ambiental compartilhada. Bahia.</t>
  </si>
  <si>
    <t>Felipe Santos da Silva</t>
  </si>
  <si>
    <t>2017-37</t>
  </si>
  <si>
    <t>SISTEMA ÚNICO DE SAÚDE (SUS): uma análise comparativa dos repasses financeiros do bloco de média e alta complexidade (MAC) nas regiões de saúde de Ilhéus e Itabuna – Bahia no quadriênio 2013 a 2016
ILHÉUS – BAHIA 201</t>
  </si>
  <si>
    <t>Economia da Saúde</t>
  </si>
  <si>
    <t>Repasses Intergovernamentais, Pactuações, Gestão do SUS.</t>
  </si>
  <si>
    <t>Ezequias Francisco Moreira Lima</t>
  </si>
  <si>
    <t>2017-38</t>
  </si>
  <si>
    <t>POLÍTICAS PÚBLICAS E GESTÃO EM UNIDADE DE CONSERVAÇÃO: o caso do Parque Estadual da Serra do Conduru (PESC) -BA</t>
  </si>
  <si>
    <t>Sustentabilidade, Políticas Públicas, Desenvolvimento Sustentável, Unidades de Conservação; Parque Estadual Serra do Conduru.</t>
  </si>
  <si>
    <t>Ricardo de Jesus Batista dos Santos</t>
  </si>
  <si>
    <t>2017-39</t>
  </si>
  <si>
    <t xml:space="preserve">FEDERALISMO FISCAL: uma análise das transferências constitucionais a nível estadual no Brasil no período pós Constituição de 1988
</t>
  </si>
  <si>
    <t>Federalismo fiscal; Brasil; Constituição de 1988, Transferências Constitucionais.</t>
  </si>
  <si>
    <t>Taís Teixeira Medeiros</t>
  </si>
  <si>
    <t>2017-40</t>
  </si>
  <si>
    <t>RISCO DE CRÉDITO: um estudo de caso da carteira de crédito do Banco do
Povo de Itabuna-BA</t>
  </si>
  <si>
    <t>Microcrédito; Risco de Crédito; Risco Intrínseco</t>
  </si>
  <si>
    <t>Poliana Lima dos Santos</t>
  </si>
  <si>
    <t>2017-41</t>
  </si>
  <si>
    <t>REDUÇÃO DE EMISSÕES POR DESMATAMENTO E DEGRADAÇÃO
FLORESTAL (REDD): um estudo bibliométrico e sobre o estado da arte na literatura</t>
  </si>
  <si>
    <t xml:space="preserve">Desmatamento. Degradação florestal. REDD. </t>
  </si>
  <si>
    <t>Jocilene da Silva</t>
  </si>
  <si>
    <t xml:space="preserve">Carlos Eduardo Ribeiro Santos
</t>
  </si>
  <si>
    <t>2017-42</t>
  </si>
  <si>
    <t>EVOLUÇÃO DAS CONTAS PÚBLICAS FEDERAIS BRASILEIRAS (2003-2014): análise comparativa a partir da crise mundial de 2008</t>
  </si>
  <si>
    <t>Crise de 2008, Contas Públicas, Política Fiscal Keynesiana.</t>
  </si>
  <si>
    <t>Rafael Novaes de Andrade</t>
  </si>
  <si>
    <t>2017-43</t>
  </si>
  <si>
    <t>DESENVOLVIMENTO SOCIOECONÔMICO E CRIMINALIDADE: uma análise
espacial para os municípios baianos</t>
  </si>
  <si>
    <t>Criminalidade, espacial, Bahia, homicídios e desenvolvimento
socioeconômico.</t>
  </si>
  <si>
    <t>Luana Correia Leite da Silva</t>
  </si>
  <si>
    <t xml:space="preserve">Mônica de Moura Pires
</t>
  </si>
  <si>
    <t>2017-44</t>
  </si>
  <si>
    <t>O SISTEMA ECONÔMICO E SUA RELAÇÃO COM OS PROBLEMAS AMBIENTAIS: controvérsias entre as abordagens da economia ambiental e ecológica.</t>
  </si>
  <si>
    <t>Economia dos Recursos Naturais e do Meio Ambiente</t>
  </si>
  <si>
    <t>Meio Ambiente. Crise Ambiental. Capitalismo. Sustentabilidade.</t>
  </si>
  <si>
    <t>Lorena Gava Fonseca</t>
  </si>
  <si>
    <t>2017-45</t>
  </si>
  <si>
    <t>CARACTERÍSTICAS DAS DIMENSÕES DA POBREZA NOS MUNICÍPIOS DE
ILHÉUS E ITABUNA, NA BAHIA (1991 – 2010): da pobreza unidimensional à lógica
das privações</t>
  </si>
  <si>
    <t>Pobreza Unidimensional e Multidimensional. Necessidades Básicas.
Privações. Ilhéus/Itabuna</t>
  </si>
  <si>
    <t>Carla Priscila Cardoso Moraes</t>
  </si>
  <si>
    <t xml:space="preserve">Carlos Eduardo
Ribeiro Santos
</t>
  </si>
  <si>
    <t>2017-46</t>
  </si>
  <si>
    <t>O COMPORTAMENTO DO COMÉRCIO VAREJISTA NO BRASIL
ENTRE 2001 E 2015</t>
  </si>
  <si>
    <t>Comércio de Varejo. Comportamento varejista. Indicadores
macroeconômicos.</t>
  </si>
  <si>
    <t>Ana Caroline Santos Vieira</t>
  </si>
  <si>
    <t>2017-47</t>
  </si>
  <si>
    <t>EVOLUÇÃO DO IMPOSTO SOBRE CIRCULAÇÃO DE MERCADORIAS E
SERVIÇOS (ICMS) NO ESTADO DA BAHIA NO PERÍODO DE 2007 A 2016</t>
  </si>
  <si>
    <t>ICMS; Balanço Orçamentário; Receita Corrente; Receita de
Capital; Tributos, Impostos.</t>
  </si>
  <si>
    <t>Herivelto Soares da Silva</t>
  </si>
  <si>
    <t>2017-48</t>
  </si>
  <si>
    <t>Diagnóstico dos resíduos sólidos domésticos no município de São José da
Vitória-Bahia sob as diretrizes da Política Nacional de Resíduos Sólidos</t>
  </si>
  <si>
    <t>Desenvolvimento sustentável. Reciclagem. Compostagem.
Gravimetria. Leis municipais</t>
  </si>
  <si>
    <t>Gilberto Pacheco de Góis</t>
  </si>
  <si>
    <t xml:space="preserve">Geovânia Silva de Sousa
</t>
  </si>
  <si>
    <t>2017-49</t>
  </si>
  <si>
    <t>AMBIENTE DE INOVAÇÃO À LUZ DA TEORIA EVOLUCIONÁRIA
NEOSCHUMPETERIANA: o caso do setor de celulose, papel e artefatos de papel</t>
  </si>
  <si>
    <t>Economia Industrial e Tecnologia</t>
  </si>
  <si>
    <t>Papel e celulose. Ambiente de Inovação. Regime Tecnológico</t>
  </si>
  <si>
    <t>Ivamara Santos de Jesus da Silva</t>
  </si>
  <si>
    <t>2017-50</t>
  </si>
  <si>
    <t>O NEGÓCIO FEIRA LIVRE: DINÂMICA E RELAÇÕES</t>
  </si>
  <si>
    <t>Feira livre, Relações de consumo, Relações de trabalho, Economia
local, Coaraci-Ba</t>
  </si>
  <si>
    <t>Gustavo Rodrigues Borges de Souza</t>
  </si>
  <si>
    <t>2017-51</t>
  </si>
  <si>
    <t>TRANSFORMÇÕES NO MEIO URBANO-RURAL DA MICRORREGIÃO ILHÉUS-ITABUNA</t>
  </si>
  <si>
    <t>Economia da Região Cacaueira</t>
  </si>
  <si>
    <t>Lavoura Cacaueira, Migração, Microrregião Ilhéus-Itabuna</t>
  </si>
  <si>
    <t>Felipe Leandro Souza Batista</t>
  </si>
  <si>
    <t>2018-1</t>
  </si>
  <si>
    <t>INTEGRAÇÃO ECONÔMICA: uma perspectiva brasileira</t>
  </si>
  <si>
    <t>Integração Econômica. Cooperação Internacional. Comércio Internacional.</t>
  </si>
  <si>
    <t>Mateus Monteiro Piedade Lyrio</t>
  </si>
  <si>
    <t>2018-2</t>
  </si>
  <si>
    <t>VALORAÇÃO DE SISTEMA CACAU CABRUCA: estudo de caso da fazenda Esperança II, município de Barro Preto-BA</t>
  </si>
  <si>
    <t>Agroecologia. Mata Atlântica. Valoração ambiental. Sistema agroflorestal – SAF. Pagamento por serviço ambiental – PSA.</t>
  </si>
  <si>
    <t>Raphaela Thais Couto Santos</t>
  </si>
  <si>
    <t>2018-3</t>
  </si>
  <si>
    <t>CUSTOS DE TRANSAÇÃO, CONTRATOS E ESTRUTURAS DE GOVERNANÇA: Universidade Federal do Sul da Bahia e Araúna Serviços Especializados LTDA</t>
  </si>
  <si>
    <t>Economia Industrial. Institucionalismo econômico. Custos de transação. Terceirização. Governança.</t>
  </si>
  <si>
    <t>Rodrigo Oliveira Damasceno</t>
  </si>
  <si>
    <t>2018-4</t>
  </si>
  <si>
    <t>ANÁLISE DA SUSTENTABILIDE DO REGIME PRÓPRIO DE PREVIDÊNCIA SOCIAL NO ESTADO DA BAHIA</t>
  </si>
  <si>
    <t>Função de Reação Fiscal. Regime Previdenciário Próprio. Solvência. Bahia.</t>
  </si>
  <si>
    <t>Matheus Seixas Macedo</t>
  </si>
  <si>
    <t>Carlos Eduardo Drumond</t>
  </si>
  <si>
    <t>2018-5</t>
  </si>
  <si>
    <t>CONQUISTAS, DESAFIOS E PERSPECTIVAS DA PREVIDÊNCIA SOCIAL NO BRASIL A PARTIR DOS ANOS 1990</t>
  </si>
  <si>
    <t>Seguridade Social. Previdência Social, Reformas Previdenciária.</t>
  </si>
  <si>
    <t>Aldair Barreto</t>
  </si>
  <si>
    <t>2018-6</t>
  </si>
  <si>
    <t>REGULAÇÃO ECONÔMICA: um estudo de caso sobre os transportes públicos coletivos de Itabuna-BA</t>
  </si>
  <si>
    <t>Regulação econômica. Transporte Público coletivo. Mobilidade urbana. Itabuna – BA.</t>
  </si>
  <si>
    <t>Luiti Silva Funato</t>
  </si>
  <si>
    <t>2018-7</t>
  </si>
  <si>
    <t>A COBERTURA DO PROGRAMA DE AQUISIÇÃO DE ALIMENTOS (PAA) NO ESTADO DA BAHIA EM 2016</t>
  </si>
  <si>
    <t>Políticas públicas. Pobreza. Agricultura familiar. Insegurança alimentar. Inclusão produtiva</t>
  </si>
  <si>
    <t xml:space="preserve">Juliane Ferreira </t>
  </si>
  <si>
    <t>2018-8</t>
  </si>
  <si>
    <t>Contribuições ao estudo do pensamento econômico ortodoxo, velho institucionalista e novo institucionalista dos custos de transação com foco nos Direitos de Propriedade</t>
  </si>
  <si>
    <t>Direitos de propriedade. Ortodoxia. Institucionalismo.</t>
  </si>
  <si>
    <t>Rodrigo Silva Vilas Boas Santos</t>
  </si>
  <si>
    <t>2018-9</t>
  </si>
  <si>
    <t>A INDÚSTRIA CALÇADISTA: uma análise a partir da política pública estadual de atração de investimento da Bahia</t>
  </si>
  <si>
    <t>Economia Regional.</t>
  </si>
  <si>
    <t>Indústria calçadista, incentivos fiscais, análise SWOT.</t>
  </si>
  <si>
    <t>Amanda Santana de Oliveira</t>
  </si>
  <si>
    <t>2018-10</t>
  </si>
  <si>
    <t>QUALIDADE AMBIENTAL DAS REGIÕES METROPOLITANAS DO NORDESTE BRASILEIRO: um estudo comparado</t>
  </si>
  <si>
    <t>Economia dos Recursos Naturais e Meio Ambiente</t>
  </si>
  <si>
    <t>Políticas públicas ambientais. Qualidade de vida. Gestão pública. Meio ambiente. Desenvolvimento urbano.</t>
  </si>
  <si>
    <t>Áurea Christina Santos Souza</t>
  </si>
  <si>
    <t>2018-11</t>
  </si>
  <si>
    <t>TRAJETÓRIA DA DISTRIBUIÇÃO DE RENDA NA BAHIA: influência de variáveis (fatores) socioeconômicas</t>
  </si>
  <si>
    <t>Teoria econômica</t>
  </si>
  <si>
    <t>Distribuição de renda. Concentração. Renda per capita. Variáveis socioeconômicas.</t>
  </si>
  <si>
    <t>Laiane Pereira Paiva</t>
  </si>
  <si>
    <t>2018-12</t>
  </si>
  <si>
    <t>O EGOÍSMO LIBERAL E O MODO DE PRODUÇÃO CAPITALISTA: uma perspectiva histórica e crítica</t>
  </si>
  <si>
    <t>Egoísmo; Liberalismo Econômico; Materialismo Histórico Dialético</t>
  </si>
  <si>
    <t>Tomás Braga e Braga</t>
  </si>
  <si>
    <t>2018-13</t>
  </si>
  <si>
    <t>OS IMPACTOS DAS OSCILAÇÕES NA PRODUÇÃO, NA TAXA DE JUROS E NA ARRECADAÇÃO TRIBUTÁRIA DIRETA SOBRE O INVESTIMENTO DIRETO DOMÉSTICO BRASILEIRO NO PERÍODO DE 1996 – 2016</t>
  </si>
  <si>
    <t>Investimento Direto Doméstico; Tributos e Formação Bruta de Capital Fixo.</t>
  </si>
  <si>
    <t>Aritze Nathali Araújo Teotônio</t>
  </si>
  <si>
    <t>2018-14</t>
  </si>
  <si>
    <t>A INOVAÇÃO TECNOLÓGICA NO SETOR DE TELECOMUNICAÇÕES: uma análise sobre os novos meios de comunicação e sua importância para o crescimento da economia brasileira entre o período de 1998 a 2017</t>
  </si>
  <si>
    <t>Inovação Tecnológica e Crescimento Econômico</t>
  </si>
  <si>
    <t>Telecomunicações. Inovação Tecnológica. Crescimento Econômico.</t>
  </si>
  <si>
    <t>Dirceu Alves Nascimento</t>
  </si>
  <si>
    <t>2018-15</t>
  </si>
  <si>
    <t>A REGULAÇÃO DO SERVIÇO DE ATENDIMENTO MÓVEL DE URGÊNCIA NO MUNICÍPIO DE ITABUNA - BAHIA: uma análise sob a ótica da eficiência para o ano de 2017</t>
  </si>
  <si>
    <t>SAMU.Eficiência.Análise envoltória de dados –DEA.Atendimentos</t>
  </si>
  <si>
    <t>Carlos Wesley dos Santos</t>
  </si>
  <si>
    <t>2018-16</t>
  </si>
  <si>
    <t>INDICADOR ECONÔMICO MUNICIPAL DE CURTO PRAZO: Uma Análise do comportamento temporal do Índice de Movimentação Econômica para o Município de Ilhéus no Período entre 2010 a 2017</t>
  </si>
  <si>
    <t>Indicadores. Curto Prazo. Município de Ilhéus</t>
  </si>
  <si>
    <t>Ricardo Cerqueira dos Santos</t>
  </si>
  <si>
    <t>2018-17</t>
  </si>
  <si>
    <t>DESIGUALDADE DE RENDA E CRIMINALIDADE VIOLENTA NA CIDADE DE ITABUNA, 2000 A 2017</t>
  </si>
  <si>
    <t xml:space="preserve">Políticas Públicas </t>
  </si>
  <si>
    <t>Teorias sobre o crime, Desigualdade de renda, Indicadores socioeconômicos, Itabuna</t>
  </si>
  <si>
    <t>Sarah Ferreira Leal Santos</t>
  </si>
  <si>
    <t>2018-18</t>
  </si>
  <si>
    <t>CRESCIMENTO ECONÔMICO E SANEAMENTO BÁSICO: um estudo comparativo entre as regiões do Nordeste e Sudeste do Brasil para o ano de 2015</t>
  </si>
  <si>
    <t>Meio ambiente; saneamento básico; crescimento e desenvolvimento sustentável.</t>
  </si>
  <si>
    <t>Thaislane Lima Batista de Araújo</t>
  </si>
  <si>
    <t>2018-19</t>
  </si>
  <si>
    <t>IMPACTOS DAS TARIFAS DE IMPORTAÇÃO DOS ESTADOS UNIDOS DA AMÉRICA (EUA) SOBRE AS EXPORTAÇÕES BRASILEIRAS, NO PERÍDO DE 1996 ATÉ 2017</t>
  </si>
  <si>
    <t>Importação, exportação, economia internacional, tarifas de importação.</t>
  </si>
  <si>
    <t xml:space="preserve">Daiane Silva Viana </t>
  </si>
  <si>
    <t>2018-20</t>
  </si>
  <si>
    <t>TECNOLOGIAS DA INFORMAÇÃO E COMUNICAÇÃO (TICs): uma análise dos efeitos sobre a arrecadação do ICMS na Bahia entre 1997 e 2017</t>
  </si>
  <si>
    <t>Tecnologias da Informação e Comunicação (TICs). Governo da Bahia. Adventos Tecnológicos. Arrecadação tributária</t>
  </si>
  <si>
    <t>Fernanda Silva de Moraes</t>
  </si>
  <si>
    <t>2018-21</t>
  </si>
  <si>
    <t>ABORDAGENS ANALÍTICAS DO MICROCRÉDITO COMO ESTRATÉGIA DE REDUÇÃO DE POBREZA: um estudo crítico</t>
  </si>
  <si>
    <t>Microfinanças</t>
  </si>
  <si>
    <t>Microcrédito. Pobreza. Banco Mundial.</t>
  </si>
  <si>
    <t>Dilma Nara Santos Nascimento</t>
  </si>
  <si>
    <t>2018-22</t>
  </si>
  <si>
    <t>O PROGRAMA BOLSA FAMILIA APÓS 15 ANOS DE SUA IMPLEMENTAÇÃO: UMA ANÁLISE PARA A BAHIA</t>
  </si>
  <si>
    <t>Políticas Públicas e Desenvolvimento.</t>
  </si>
  <si>
    <t>Programa Bolsa Família; 15 anos; Bahia; Características; Evolução.</t>
  </si>
  <si>
    <t>Caroline de Jesus Silva</t>
  </si>
  <si>
    <t>2018-23</t>
  </si>
  <si>
    <t>AVANÇO TECNOLÓGICO E O COMPORTAMENTO DO CONSUMIDOR SOB A ÓTICA DAS PLATAFORMAS DE ECONOMIA COMPARTILHADA</t>
  </si>
  <si>
    <t>Economia Compartilhada</t>
  </si>
  <si>
    <t>Comportamento do consumidor. Economia Compartilhada. Plataformas colaborativas.</t>
  </si>
  <si>
    <t>Cayque Moraes Berbert</t>
  </si>
  <si>
    <t>2018-24</t>
  </si>
  <si>
    <t>CUSTOS DE TRANSAÇÃO NA HOTELARIA</t>
  </si>
  <si>
    <t>Economia industrial</t>
  </si>
  <si>
    <t>Custos de Transação. Estruturas de Governança. Setor Terciário. Turismo</t>
  </si>
  <si>
    <t>Yuri Oliveira Quinto</t>
  </si>
  <si>
    <t>2018-25</t>
  </si>
  <si>
    <t>O SETOR DE SERVIÇOS EM ITABUNA-BAHIA: uma análise sob a perspectiva do crescimento econômico no período de 2005 a 2015</t>
  </si>
  <si>
    <t>Serviços, Economia Regional, Hierarquia de lugares, Crescimento Econômico</t>
  </si>
  <si>
    <t>Fellipe Andrade Lima</t>
  </si>
  <si>
    <t>2018-26</t>
  </si>
  <si>
    <t>INVESTIMENTO EXTERNO DIRETO E CENÁRIO MACROECONÔMICO BRASILEIRO NO PERÍODO 1994 – 2016</t>
  </si>
  <si>
    <t>Brasil. IED. Cenário Macroeconômico. Desnacionalização. Empresas Transnacionais.</t>
  </si>
  <si>
    <t>Renata Camili de Souza Sartório</t>
  </si>
  <si>
    <t>2018-27</t>
  </si>
  <si>
    <t>TRAJETÓRIA TECNOLÓGICA DA PRODUÇÃO DOS ESTADOS NORDESTINOS DO BRASIL ENTRE OS ANOS DE 2009 E 2017: uma análise a partir de indicadores de competitividade internacional</t>
  </si>
  <si>
    <t>Economia Industrial e da Tecnologia e Comércio Internacional</t>
  </si>
  <si>
    <t>Inovação; Comércio Internacional; Nordeste.</t>
  </si>
  <si>
    <t>Leildes Dias da Silva</t>
  </si>
  <si>
    <t>2018-28</t>
  </si>
  <si>
    <t>TERCIARIZAÇÃO PRODUTIVA NAS MICRORREGIÕES BAIANAS ENTRE 1995 E 2017: uma análise a partir de indicadores locacionais e de especialização produtiva</t>
  </si>
  <si>
    <t>Setor Terciário. Municípios Centrais Baianos. Indicadores de localização. Indicadores de especialização</t>
  </si>
  <si>
    <t>Igor de Oliveira da Silva</t>
  </si>
  <si>
    <t>2018-29</t>
  </si>
  <si>
    <t>EVOLUÇÃO DO INVESTIMENTO PÚBLICO FEDERAL NO SETOR ELÉTRICO BRASILEIRONO PERÍODO DE 1995 A 2014</t>
  </si>
  <si>
    <t>Investimento. Público.Infraestrutura.Setor Elétrico.</t>
  </si>
  <si>
    <t>Gibran Padova Abdon Calheira</t>
  </si>
  <si>
    <t>2018-30</t>
  </si>
  <si>
    <t>Uma breve análise dos principais instrumentos de políticas públicas para o setor agrícola brasileiro no período de 1960 a 2015</t>
  </si>
  <si>
    <t>Economia  Agrícola</t>
  </si>
  <si>
    <t>Políticas públicas, Inovação tecnológica, produção agrícola, Embrapa, PGPM, Crédito Rural</t>
  </si>
  <si>
    <t>Aline Freire dos Santos</t>
  </si>
  <si>
    <t>2018-31</t>
  </si>
  <si>
    <t>DIAGNÓSTICO DA SOCIEDADE PÓS-INDUSTRIAL EM ILHÉUS E ITABUNA – BAHIA: UMA PERSPECTIVA A PARTIR DO EMPREGO FORMAL</t>
  </si>
  <si>
    <t>Pós-industrialismo. Emprego. Serviços.</t>
  </si>
  <si>
    <t>Caline Rodrigues Souza da Silva</t>
  </si>
  <si>
    <t>2018-32</t>
  </si>
  <si>
    <t xml:space="preserve">UMA BREVE ANÁLISE DA ECONOMIA BRASILEIRA E CONTEMPORÂNEA  - 50 ANOS DEPOIS: os governos Jânio-Jango (1961-1964) e Dilma Roussef (2011-2016) </t>
  </si>
  <si>
    <t>Economia Brasileira e Contemporânea</t>
  </si>
  <si>
    <t>Política econômica. Conflito Social. Mudança Social. Ciclos econômicos. Mídia Social</t>
  </si>
  <si>
    <t>Genilson Almeida dos Anjos</t>
  </si>
  <si>
    <t>ANÁLISE SOCIOECONÔMICA DO MUNICÍPIO DE CANAVIEIRAS-BA PÓS CRISE DO CACAU</t>
  </si>
  <si>
    <t>Socioeconomia. Sul da Bahia. Canavieiras. Crise do Cacau</t>
  </si>
  <si>
    <t>Arieldes Moreira dos Santos</t>
  </si>
  <si>
    <t>PLANO DE NEGÓCIO: uma análise de viabilidade econômico-financeira para a instalação de uma casa de shows e eventos no município de Ilhéus – BA</t>
  </si>
  <si>
    <t>Economia e Finanças</t>
  </si>
  <si>
    <t>Casa de Shows e Eventos. Plano de Negícios. Empreendedorismo. Viabilidade econômico-financeira.</t>
  </si>
  <si>
    <t>Iannic dos Santos Matos</t>
  </si>
  <si>
    <t>EVASÃO UNIVERSITÁRIA: UMA ANÁLISE ANTES E APÓS A ADOÇÃO DO SISU NA UNIVERSIDADE ESTADUAL DE SANTA CRUZ</t>
  </si>
  <si>
    <t>Evasão Estudantil. SISU. Impactos Econômicos</t>
  </si>
  <si>
    <t>Moniqui Rodrigues de Lazari</t>
  </si>
  <si>
    <t>O PLANEJAMENTO FINANCEIRO E A SOBREVIVÊNCIA DAS MICRO E PEQUENAS EMPRESAS NO BRASIL</t>
  </si>
  <si>
    <t>Planejamento Financeiro. Micro e Pequenas Empresas. Simples Nacional.</t>
  </si>
  <si>
    <t>Vito Lopes Freitas</t>
  </si>
  <si>
    <t>Iracildo Silva Santos</t>
  </si>
  <si>
    <t>A CRÍTICA SISTEMÁTICA DE THOIRSTEIN VEBLEN AOS PENSAMENTOS DA ESCOLA HISTÓRICA ALEMÃ E DA ECONOMIA NEOCLÁSSICA: uma análise da aplicabilidade das proposições veblenianas na atualidade</t>
  </si>
  <si>
    <t>Escola Histórica Alemâ. Teoria Neoclássica. Veblen.</t>
  </si>
  <si>
    <t>Ana Carolina Oliveira Carvalho</t>
  </si>
  <si>
    <t>CRÉDITO PESSOAL E ENDIVIDAMENTO DAS FAMÍLIAS BRASILEIRAS ENTRE OS ANOS DE 2010 A 2018</t>
  </si>
  <si>
    <t>Crédito. Crédito Pessoal. Endividamento. Consumo. Modalidades de Crádito.</t>
  </si>
  <si>
    <t>Fernanda Santana Santos</t>
  </si>
  <si>
    <t>AS IMPLICAÇÕES DAS POLÍTICAS PÚBBLICAS DE TRANSPORTE: uma análise do Programa de Aceleração Crescimento (PAC) no sistema federal brasileiro de transporte de cargas</t>
  </si>
  <si>
    <t>Políticas Públicas. Programa de Aceleração de Crescimento (PAC). Transporte de Cargas.</t>
  </si>
  <si>
    <t>Luna Ferreira Leite</t>
  </si>
  <si>
    <t>UMA DISCUSSÃO SOBRE O COMPORTAMENTO DE CONSUMO DAS FAMÍLIAS À LUZ DAS TEORIAS DO CONSUMIDOR E DA ECONOMIA COMPORTAMENTAL</t>
  </si>
  <si>
    <t>Teoria Neoclássica do Consumidor. Economia Comportamental. Consumo das Famílias.</t>
  </si>
  <si>
    <t>João Paulo da Silva Ramos</t>
  </si>
  <si>
    <t>O PAPEL DE ATUAÇÃO E INTERVENÇÃO DO CENTRO DE REFERÊNCIA DE ASSISTÊNCIA SOCIAL (CRAS) DE UBATÃ-BAHIA E A POPULAÇÃO ATENDIDA  ENTRE 2016 E 2017</t>
  </si>
  <si>
    <t>Políticas Púbblicas. Vulnnerabbilidade. CRAS. Ubatã-Bahia.</t>
  </si>
  <si>
    <t>Priscila Pereira dos Santos</t>
  </si>
  <si>
    <t>INSTRUMENTOS E CANAIS DE TRANSMISSÃO DA POLÍTICA MONETÁRIA NO BRASIL ENTRE 1999 E 2018: uma análise a partir da condução da política  monetária pelo Banco Central</t>
  </si>
  <si>
    <t>Política Monetária. Instrumentos. Canais de Transmissão.</t>
  </si>
  <si>
    <t>Lorraine Moreira Santos</t>
  </si>
  <si>
    <t>CONTRIBUIÇÕES AO DEBATE SOBRE O SETOR DE SERVIÇOS NA ECONOMIA  BRASILEIRA</t>
  </si>
  <si>
    <t>Setor de serviços. Economia Brasileira. Terceirização.</t>
  </si>
  <si>
    <t>Natali Coelho Santos</t>
  </si>
  <si>
    <t>EFEITOS DA CRISE ECONÔMICA MUNDIAL DE 2008 NO DESEMPENHO DO  TURISMO BRASILEIRO</t>
  </si>
  <si>
    <t>Macroeconomia- Economia do Turismo</t>
  </si>
  <si>
    <t>Turismo. Crise Econômica. Brasil.</t>
  </si>
  <si>
    <t>Mirian Nunes Santana de Jesus</t>
  </si>
  <si>
    <t>2019-13</t>
  </si>
  <si>
    <t>INDICADOR DE DESENVOLVIMENTO RURAL: Uma Análise da Microrregião  Ilhéus-Itabuna</t>
  </si>
  <si>
    <t>Desenvolvimento Rural</t>
  </si>
  <si>
    <t>Desenvolvimento rural. Indicador multidimencional.</t>
  </si>
  <si>
    <t>Eduardo Franco da Silva</t>
  </si>
  <si>
    <t>Andrea da Silva Gomes</t>
  </si>
  <si>
    <t>2019-14</t>
  </si>
  <si>
    <t>ANÁLISE DA VOLATILIDADE NOS PREÇOS DA CANA-DE-AÇÚCAR DO  BRASIL: Uma aplicação de modelos ARCH</t>
  </si>
  <si>
    <t>Economia Aplicada</t>
  </si>
  <si>
    <t>Cana-de-açúcar. Preços. Volatilidade. Etanol. Commodity.</t>
  </si>
  <si>
    <t>Helane Santos de Oliveira</t>
  </si>
  <si>
    <t>2019-15</t>
  </si>
  <si>
    <t>UM ESTUDO SOBRE ESTRUTURAS DE GOVERNANÇA PARA ATIVOS DE  LOGÍSTICA: a escolha pela hierarquia</t>
  </si>
  <si>
    <t>Economia Industrial/Economia Institucional</t>
  </si>
  <si>
    <t>Estruturas de Governança. Logística. Transações.</t>
  </si>
  <si>
    <t>Matheus Marinho do Rosário</t>
  </si>
  <si>
    <t>2019-16</t>
  </si>
  <si>
    <t>TECNOLOGIA BANCÁRIA: efeito sobre os canais tradicionais de transação no  Nordeste do Brasil</t>
  </si>
  <si>
    <t>Economia da Informação</t>
  </si>
  <si>
    <t>Tecnologia da Informação. Economia da informação. Inovação.
Schumpeter. Neoschumpeterianos.</t>
  </si>
  <si>
    <t>José Messias dos Santos Júnior</t>
  </si>
  <si>
    <t>2019-17</t>
  </si>
  <si>
    <t>PRODUTIVIDADE SETORIAL DA MÃO DE OBRA: Um estudo comparativo entre os setores da economia baiana para o ano de 2016.</t>
  </si>
  <si>
    <t>Produtividade. Setorial. Mão de obra. Bahia. Renda per capita.</t>
  </si>
  <si>
    <t>Anndré Paz Araújo</t>
  </si>
  <si>
    <t>2019-18</t>
  </si>
  <si>
    <t>A APLICABILIDADE DA LEI DE OKUN NOS GOVERNOS LULA E DILMA: uma análise da relação entre PIB e desemprego na economia brasileira de 2003 a  2014</t>
  </si>
  <si>
    <t>Lei de Okun. PIB. Desemprego.</t>
  </si>
  <si>
    <t>Yasmim Moreira Farias</t>
  </si>
  <si>
    <t>2019-19</t>
  </si>
  <si>
    <t>UMA ABORDAGEM INSTITUCIONAL DA SOCIEDADE BRASILEIRA CONTEMPORÂNEA A PARTIR DA TEORIA DE THORSTEIN VEBLEN: a questão do gênero no Serviço Social</t>
  </si>
  <si>
    <t>Assistentes Sociais. Instituições. Path dependence. Hábitos. Mulher.</t>
  </si>
  <si>
    <t>Hussiane Araújo Amaral</t>
  </si>
  <si>
    <t>2019-20</t>
  </si>
  <si>
    <t>REGIME TECNOLÓGICO DO SETOR DE PAPEL E CELULOSE NO BRASIL ENTRE 2009 E 2014</t>
  </si>
  <si>
    <t>Escola Neoschumpeteriana. Inovação Tecnológica. Papel e
Celulose. Regime Tecnológico. Revolução 4.0.</t>
  </si>
  <si>
    <t>John Almiro Gusmão Medrado Teixeira</t>
  </si>
  <si>
    <t>2019-21</t>
  </si>
  <si>
    <t>PRIVATIZAÇÃO E FINANCEIRIZAÇÃO DA EDUCAÇÃO DE ENSINO SUPERIO NO BRASIL: uma análise do endividamento dos beneficiários entre 2005 e 2014</t>
  </si>
  <si>
    <t>Políticas Públicas. Ensino Superior Privado. Programas Sociais.</t>
  </si>
  <si>
    <t>Maylla Soares de Carvalho</t>
  </si>
  <si>
    <t>2019-22</t>
  </si>
  <si>
    <t>ANÁLISE DAS CONTAS PÚBLICAS NO MUNICÍPIO DE ITACARÉ-BA ENTRE ONS ANOS 2017 E 2018</t>
  </si>
  <si>
    <t>Receita. Despesas. Município. Contas públicas.</t>
  </si>
  <si>
    <t>Valéria Cruz de Assis</t>
  </si>
  <si>
    <t>2019-23</t>
  </si>
  <si>
    <t>POLÍTICA DE INCENTIVO FISCAL: uma análise sobre a geração de emprego e renda do Pólo de Informática no município de Ilhéus a partir da década de 2000</t>
  </si>
  <si>
    <t>Mercado de trabalho</t>
  </si>
  <si>
    <t>Programas de incentivo fiscal. Guerra fiscal. Pólo de informática.
Emprego. Renda.</t>
  </si>
  <si>
    <t>Leide Costa Perereira dos Reis</t>
  </si>
  <si>
    <t>2019-24</t>
  </si>
  <si>
    <t>AGRICULTURA FAMILIAR: UMA ANÁLISE PARA O MUNICÍPIO DE GANDU-  BAHIA</t>
  </si>
  <si>
    <t>Agricultura familiar. Segurança alimentar. Políticas públicas.
Desenvolvimento local.</t>
  </si>
  <si>
    <t>Regivaldo Gomes de Lima</t>
  </si>
  <si>
    <t>2019-25</t>
  </si>
  <si>
    <t>A DÍVIDA PÚBLICA FEDERAL BRASILEIRA: uma análise das causas da sua  recente evolução entre 2007 e 2018</t>
  </si>
  <si>
    <t>Dívida pública; Finanças públicas; Dívida interna; Dívida externa.</t>
  </si>
  <si>
    <t>Victor Sousa dos Santos</t>
  </si>
  <si>
    <t>2019-26</t>
  </si>
  <si>
    <t>A COMPETITIVIDADE DA INDÚSTRIA DE PAPEL E CELULOSE NO CENÁRIO  BRASILEIRO PERÍODO DE 2007 A 2018</t>
  </si>
  <si>
    <t>Competitividade. Indústria. Exportações. Papel e Celulose.</t>
  </si>
  <si>
    <t>Lucas Daniel Farias Costa</t>
  </si>
  <si>
    <t>2019-27</t>
  </si>
  <si>
    <t>O PROGRAMA INOVAR-AUTO E O DESENVOLVIMENTO DO SETOR  AUTOMOTIVO NO BRASIL ENTRE 2013 A 2017</t>
  </si>
  <si>
    <t>Políticas Industriais</t>
  </si>
  <si>
    <t>Indústria automotiva. Inovação tecnológica. Programa Inovar-Auto.</t>
  </si>
  <si>
    <t>Tayana Yohanne Lajovic</t>
  </si>
  <si>
    <t>2019-28</t>
  </si>
  <si>
    <t>EVOLUÇÃO DA MOEDA: a criptomoeda Bitcoin e os postulados da escola  austríaca</t>
  </si>
  <si>
    <t>Criptomoedas; Altcoin; Escola de Viena.</t>
  </si>
  <si>
    <t>Mariana de Oliveira Brandão Silva</t>
  </si>
  <si>
    <t>2019-29</t>
  </si>
  <si>
    <t>O NOVO RURAL: uma discussão a partir dos setores de atividades econômicas do  município de Buerarema (Bahia), entre os anos 2000 a 2015</t>
  </si>
  <si>
    <t>Crescimento e Desenvolvimento
Econômico</t>
  </si>
  <si>
    <t>Rural; espaço; agropecuária; indústria; serviços.</t>
  </si>
  <si>
    <t xml:space="preserve">Marcos Vinicius dos Santos </t>
  </si>
  <si>
    <t>2019-30</t>
  </si>
  <si>
    <t>INTERNACIONALIZAÇÃO, INTEGRAÇÃO ECONÔMICA E AS CORRENTES DE COMÉRCIO DO BRASIL COM OS PAÍSES MEMBROS DO MERCOSUL ENTRE  1997 E 2018</t>
  </si>
  <si>
    <t>Economia Iternacional</t>
  </si>
  <si>
    <t>Mercosul. Comércio Internacional. Integração econômica.
Insumo. Produto.</t>
  </si>
  <si>
    <t>Monique Neves Moreira</t>
  </si>
  <si>
    <t>2019-31</t>
  </si>
  <si>
    <t>ESTUDO DE CASO: ANÁLISE DE DUAS CLÍNICAS MÉDICAS POPULARES NO  MUNICÍPIO DE ITABUNA- BAHIA.</t>
  </si>
  <si>
    <t>Economia de serviços</t>
  </si>
  <si>
    <t>Saúde. Sistema público. Sistema particular de saúde. Clínicas
médicas populares.</t>
  </si>
  <si>
    <t>Monachyta Alves Nascimento</t>
  </si>
  <si>
    <t>2019-32</t>
  </si>
  <si>
    <t>CONSELHO MUNICIPAL COMO INSTÂNCIA DE PARTICIPAÇÃO DEMOCRÁTICA</t>
  </si>
  <si>
    <t>Conselho Municipal. Programa de Alimentação escolar. Agricultura
familiar.</t>
  </si>
  <si>
    <t>Mabel Pereira dos Santos Anjos</t>
  </si>
  <si>
    <t>FATORES LOCACIONAIS QUE INFLUENCIAM NA IMPLEMENTAÇÃO DE REDES DE SUPERMERCADO E HIPERMERCADO NO EIXO ILHÉUS–ITABUNA,  BAHIA</t>
  </si>
  <si>
    <t>Teoria da localização, Economia Regional, Varejo Supermercadista,
Espacialização.</t>
  </si>
  <si>
    <t>Jinaldo dos Santos Silva Filho</t>
  </si>
  <si>
    <t>ANÁLISE DOS DETERMINANTES DA POBREZA NO ESTADO DA BAHIA</t>
  </si>
  <si>
    <t>Efeito transbordamento. Concentração de pobreza. Desenvolvimento
Regional. Efeitos Diretos e Indiretos.</t>
  </si>
  <si>
    <t>Fabrício Ferreira Caetano Santos</t>
  </si>
  <si>
    <t>SPREAD BANCÁRIO NO BRASIL (2001-2018): uma decomposição analítica</t>
  </si>
  <si>
    <t>spread bancário, Inadimplência, Bancos comerciais, Juros bancários.</t>
  </si>
  <si>
    <t>Stefany Oliveira Rocha</t>
  </si>
  <si>
    <t>OS PROGRAMAS DE CRÉDITO RURAL NO TERRITÓRIO LITORAL SUL (TLS),  BAHIA, NOS GOVERNOS INSTITUÍDOS ENTRE 2011 E 2018</t>
  </si>
  <si>
    <t>Programas públicos; Crédito Rural; Território.</t>
  </si>
  <si>
    <t>Natália Conceição Teixeira de Moraes</t>
  </si>
  <si>
    <t>OS DESAFIOS DOS BANCOS COMUNITÁRIOS: estudo de caso do Banco Comunitário da Associação Mãe dos Extrativistas da Reserva Extrativista  (RESEX) de Canavieiras (Bahia).</t>
  </si>
  <si>
    <t>Desenvolvimento Local</t>
  </si>
  <si>
    <t>economia solidária. Microfinanças. Tecnologia Social. Banco
comunitário</t>
  </si>
  <si>
    <t>Karine Nascimento Torquato</t>
  </si>
  <si>
    <t>EVOLUÇÃO DO PROGRAMA BOLSA FAMÍLIA NA REGIÃO NORDESTE</t>
  </si>
  <si>
    <t>Desenvolvimento Social</t>
  </si>
  <si>
    <t>Pobreza, Programa Bolsa Família, Região Nordeste, Beneficiários.</t>
  </si>
  <si>
    <t>Iago Oliveira Feitosa</t>
  </si>
  <si>
    <t>Lessi Inês Farias Pinheiro</t>
  </si>
  <si>
    <t>A PARTICIPAÇÃO DA MULHER NO MERCADO DE TRABALHO NO LITORAL  SUL DA BAHIA: os desafios da desigualdade</t>
  </si>
  <si>
    <t>Economia de Gênero</t>
  </si>
  <si>
    <t>Mercado de trabalho. Desigualdade salarial. Discriminação. Gênero.</t>
  </si>
  <si>
    <t>Lucimara Regis de Brito</t>
  </si>
  <si>
    <t>AS TECNOLOGIAS SOCIAIS PREMIADAS PELA FUNDAÇÃO BANCO DO BRASIL, NO PERÍODO DE 2001 A 2019</t>
  </si>
  <si>
    <t>inclusão social; desenvolvimento socioeconômico; redes de
tecnologia e conhecimento.</t>
  </si>
  <si>
    <t>Erliane Gomes dos Santos</t>
  </si>
  <si>
    <t>Katianny Gomes Santana
Estival</t>
  </si>
  <si>
    <t>A RACIONALIDADE NA HISTÓRIA DO PENSAMENTO ECONÔMICO E OS  LIMITES DA EDUCAÇÃO FINANCEIRA</t>
  </si>
  <si>
    <t xml:space="preserve">Economia Financeira. Economia Instucional. Racionalidade Econômica. Economia Comportamental. </t>
  </si>
  <si>
    <t>Marianna de Farias Diniz</t>
  </si>
  <si>
    <t>TURISMO E DESENVOLVIMENTO SUSTENTÁVEL NOS ESTADOS  NORDESTINOS</t>
  </si>
  <si>
    <t>Economia do  Turismo</t>
  </si>
  <si>
    <t>Economia do Turismo. Desenvolvimento Sustentável. Nordeste.</t>
  </si>
  <si>
    <t>Nandially Moreno de Roma</t>
  </si>
  <si>
    <t>O PERFIL DAS INOVAÇÕES TECNOLOGICAS ADOTADAS PELA INDUSTRIA DE PAPEL E CELULOSE: MUDANÇAS NA PINTEC DE  2008 A 2017</t>
  </si>
  <si>
    <t>Papel e Celulose, Indústria, Tecnologia, Inovação, eco-inovação.</t>
  </si>
  <si>
    <t>Ícaro Silva Bráulio de Carvalho</t>
  </si>
  <si>
    <t>POLÍTICA PÚBLICA MONETÁRIA E CRESCIMENTO ECONÔMICO NO BRASIL: UM ESTUDO DOS RESULTADOS DO PLANO REAL NO PERÍODO DE 1994 A 2004</t>
  </si>
  <si>
    <t>DESEMPREGO INDUSTRIAL NO BRASIL, 1990 – 2000</t>
  </si>
  <si>
    <t>O IMPACTO ECONÔMICO DO NOVO CÓDIGO DE TRÂNSITO BRASILEIRO NA RODOVIA BR 101 DA REGIÃO SUL CACAUEIRA DA BAHIA</t>
  </si>
  <si>
    <t>O MICROCRÉDITO COMO DINAMIZADOR DO PROCESSO SOCIOECONÔMICO NO MUNICÍPIO DE ITABUNA-BA</t>
  </si>
  <si>
    <t>PERFIL DA DEMANDA TURÍSTICA DOS MUNICÍPIOS DE ILHÉUS E ITACARÉ, BAHIA: UMA ANÁLISE COMPARATIVA PARA O ANO DE 2002</t>
  </si>
  <si>
    <t>A COOPERATIVA DE TRABALHO COMO ALTERNATIVA PARA MINIMIZAR O DESEMPREGO: ANÁLISE DAS VANTAGENS DO COOPERATIVISMO NO SEGMENTO HOSPITALAR EM ITABUNA: ESTUDO DE CASO</t>
  </si>
  <si>
    <t xml:space="preserve">AVALIAÇÃO DOS REFLEXOS DA MODERNIZAÇÃO DA CACAUICULTURA SOBRE O MEIO AMBIENTE NA REGIÃO SUL DA BAHIA. </t>
  </si>
  <si>
    <t>ASPECTOS ECONÔMICOS E FINANCEIROS DO CULTIVO DO AÇAIZEIRO NO MUNICÍPIO DE CAMAMU-BA</t>
  </si>
  <si>
    <t>PLANO DE METAS DO GOVERNO DE JUSCELINO KUBITSCHECK: ANÁLISE DE ALGUMAS DISPARIDADES ENTRE AS PROPOSTAS DE IMPLANTAÇÃO E A ABRANGÊNCIA DE SUAS REALIZAÇÕES</t>
  </si>
  <si>
    <t>VIABILIDADE ECONÔMICO-FINANCEIRA DO CULTIVO DA MANDIOCA E PRODUÇÃO DA FARINHA EM BUERAREMA, BAHIA</t>
  </si>
  <si>
    <t>O PÓLO DE INFORMÁTICA NO MUNICÍPIO DE ILHÉUS (BA): PAPEL DO ESTADO E CARACTERIZAÇÃO SOCIOECONÔMICA DOS TRABALHADORES DA INDÚSTRIA</t>
  </si>
  <si>
    <t>TURISMO SUSTENTÁVEL EM EMPREENDIMENTOS RECEPTIVOS: UM ESTUDO DA VIABILIDADE FINANCEIRA DE POUSADA, NA ILHA DE BOIPEBA, CAIRÚ, BA</t>
  </si>
  <si>
    <t>UMA ANÁLISE SOBRE O DESEMPENHO DO MERCADO BAIANO DE SEGUROS</t>
  </si>
  <si>
    <r>
      <rPr>
        <rFont val="Arial"/>
        <color theme="1"/>
        <sz val="11.0"/>
      </rPr>
      <t xml:space="preserve">Prêmio arrecadado; produto interno bruto e </t>
    </r>
    <r>
      <rPr>
        <rFont val="Arial"/>
        <i/>
        <color rgb="FF000000"/>
        <sz val="11.0"/>
      </rPr>
      <t>per capita</t>
    </r>
    <r>
      <rPr>
        <rFont val="Arial"/>
        <color rgb="FF000000"/>
        <sz val="11.0"/>
      </rPr>
      <t>; taxa de inflação.</t>
    </r>
  </si>
  <si>
    <t>IMPACTO DA MUNICIPALIZAÇÃO DA SAÚDE NA GERAÇÃO DE EMPREGO E RENDA NO MUNICÍPIO DE ILHÉUS-BA</t>
  </si>
  <si>
    <t>AVALIAÇÃO DAS CONTAS PÚBLICAS DO MUNICÍPIO DE SÃO JOSÉ DA VITÓRIA (BAHIA) NOS ANOS DE 1996 A 2000</t>
  </si>
  <si>
    <r>
      <rPr>
        <rFont val="Arial"/>
        <color theme="1"/>
        <sz val="11.0"/>
      </rPr>
      <t>Orçamento; finanças; município; receitas; despesas.</t>
    </r>
    <r>
      <rPr>
        <rFont val="Arial"/>
        <b/>
        <color theme="1"/>
        <sz val="11.0"/>
      </rPr>
      <t xml:space="preserve"> </t>
    </r>
  </si>
  <si>
    <t>PERFIL SOCIOECONÔMICO DA POPULAÇÃO DO BAIRRO NOSSA SENHORA DA VITÓRIA NO MUNICIPIO DE ILHÉUS – NOVEMBRO DE 2003</t>
  </si>
  <si>
    <t>A REESTRUTURAÇÃO DO SISTEMA DE PAGAMENTOS BRASILEIRO (SPB) E SUA IMPORTÂNCIA PARA A ESTABILIDADE DO SISTEMA FINANCEIRO NACIONAL</t>
  </si>
  <si>
    <t>A DEMANDA DO LEITE BOVINO PASTEURIZADO NO MUNICÍPIO DE CAMACAN, BAHIA</t>
  </si>
  <si>
    <t>ANÁLISE DAS POLÍTICAS PÚBLICAS DE GERAÇÃO DE EMPREGO NO SETOR INDUSTRIAL DO MUNICÍPIO DE ITABUNA, BAHIA NA DÉCADA DE 90.</t>
  </si>
  <si>
    <t>ANÁLISE DOS REFLEXOS DA CRISE CACAUEIRA SOBRE O NÍVEL DAS RECEITAS TRIBUTÁRIAS PRÓPRIAS DO MUNICÍPIO DE ITABUNA NO PERÍODO DE 1980 A 2000.</t>
  </si>
  <si>
    <t>INFLUÊNCIA DA MODERNIZAÇÃO TECNOLÓGICA NA PRODUÇÃO DO SETOR PRIMÁRIO DA ECONOMIA BRASILEIRA</t>
  </si>
  <si>
    <t>PANORAMA DO CRESCIMENTO ECONÔMICO DA PETROBRÁS: UM ESTUDO DE CASO APÓS A QUEBRA DO MONOPÓLIO ESTATAL</t>
  </si>
  <si>
    <t>ANÁLISE DO CENTRO DE CONVENÇÕES LUÍS EDUARDO MAGALHÃES PARA O DESENVOLVIMENTO DO TURISMO DE EVENTOS EM ILHÉUS-BA.</t>
  </si>
  <si>
    <t>O EFEITO DA IMPLANTAÇÃO DO SHOPPING JEQUITIBÁ NO COMÉRCIO VAREJISTA TRADICIONAL DE ITABUNA, BAHIA.</t>
  </si>
  <si>
    <r>
      <rPr>
        <rFont val="Arial"/>
        <color theme="1"/>
        <sz val="11.0"/>
      </rPr>
      <t xml:space="preserve">Comércio tradicional – </t>
    </r>
    <r>
      <rPr>
        <rFont val="Arial"/>
        <i/>
        <color theme="1"/>
        <sz val="11.0"/>
      </rPr>
      <t>Shopping</t>
    </r>
    <r>
      <rPr>
        <rFont val="Arial"/>
        <color theme="1"/>
        <sz val="11.0"/>
      </rPr>
      <t xml:space="preserve"> – Varejo – Revitalização.</t>
    </r>
  </si>
  <si>
    <t>O PERFIL DO CONSUMIDOR DA CENTRAL DE ABASTECIMENTO DO MALHADO EM ILHÉUS/BA</t>
  </si>
  <si>
    <t>VIABILIDADE FINANCEIRA DA SERINGUEIRA NO MUNICÍPIO DE UNA</t>
  </si>
  <si>
    <t>QUALIFICAÇÃO DA MÃO–DE–OBRA DOS MEIOS DE HOSPEDAGEM DE CANAVIEIRAS - BAHIA</t>
  </si>
  <si>
    <t>ANÁLISE DO PERFIL DO TURISTA DE ITACARÉ-BAHIA PERÍODO 1999 - 2003</t>
  </si>
  <si>
    <t>UMA ANÁLISE SOCIOECONÔMICA DO ASSENTAMENTO RURAL NOVA VITÓRIA NO MUNICÍPIO DE ILHÉUS, BA</t>
  </si>
  <si>
    <t>ANÁLISE DOS IMPACTOS DO PLANO REAL SOBRE O MERCADO DE LEITE IN NATURA DO BRASIL NO PERÍODO DE 1994 A 2003</t>
  </si>
  <si>
    <r>
      <rPr>
        <rFont val="Arial"/>
        <color theme="1"/>
        <sz val="11.0"/>
      </rPr>
      <t xml:space="preserve">Plano Real; leite; </t>
    </r>
    <r>
      <rPr>
        <rFont val="Arial"/>
        <i/>
        <color theme="1"/>
        <sz val="11.0"/>
      </rPr>
      <t>in natura</t>
    </r>
    <r>
      <rPr>
        <rFont val="Arial"/>
        <color theme="1"/>
        <sz val="11.0"/>
      </rPr>
      <t>; estabilidade; produtividade; crescimento.</t>
    </r>
  </si>
  <si>
    <t>ANÁLISE DO PADRÃO DE VIDA DOS APOSENTADOS DO MUNICÍPIO DE UNA – ESTADO DA BAHIA</t>
  </si>
  <si>
    <t>2004-32</t>
  </si>
  <si>
    <t>ANÁLISE SOCIOECONÔMICA DO COMERCIANTE INFORMAL LIGADO A ATIVIDADE TURÍSTICA: o caso de Porto Seguro, Bahia</t>
  </si>
  <si>
    <t>Ricardo Guilherme Kurpan</t>
  </si>
  <si>
    <t>somente elementos pré-textuais no cd</t>
  </si>
  <si>
    <t>2004-33</t>
  </si>
  <si>
    <t xml:space="preserve">ANÁLISE DOS RESULTADOS DO PROGRAMA DE DESENVOLVIMENTO LOCAL SUSTENTÁVEL NO MUNICÍPIO DE SÃO JOSÉ DA VITÓRIA - BA NO PERÍODO DE 0998 - 2002 </t>
  </si>
  <si>
    <t>Flávio Lopes da Cruz</t>
  </si>
  <si>
    <t>o arquivo não tem elementos pré-textuais, que identifiqe o autor. Dados obtidos por consulta a Ata e capa do cd</t>
  </si>
  <si>
    <t>xxxxxxxxx</t>
  </si>
  <si>
    <t>AS TRANSNACIONAIS NA ECONOMIA BRASILEIRA: determinantes dos IED no período de 1995 a 2002</t>
  </si>
  <si>
    <t>ADRIANO DE ARAÚJO VILALVA RIBEIRO</t>
  </si>
  <si>
    <t>Jorge Miguel C. R. de Jesus</t>
  </si>
  <si>
    <t>o cd veio com arquivo em branco</t>
  </si>
  <si>
    <t>ANÁLISE SÓCIO-ECONÔMICA DO DISTRITO DE COMANDATUBA, MUNICÍPIO DE UNA/BA, FRENTE A CONSTRUÇÃO DO HOTEL TRANSAMÉRICA</t>
  </si>
  <si>
    <t>VIABILIDADE ECONÔMICA E FINANCEIRA PARA A IMPLANTAÇÃO DE UMA FARMÁCIA DE MANIPULAÇÃO NO MUNICÍPIO DE ILHÉUS.</t>
  </si>
  <si>
    <t>ANÁLISE DAS CONTAS PÚBLICAS DO MUNICÍPIO DE UNA NO PERÍODO 1997-2004</t>
  </si>
  <si>
    <t>ANÁLISE FINANCEIRA DA UNICRED REGIÃO SUL DA BAHIA NO PERÍODO DE 1998 A 2003</t>
  </si>
  <si>
    <t>A VANTAGEM DA APLICAÇÃO DA PROGRESSIVIDADE DO IMPOSTO PREDIAL E TERRITORIAL URBANO (IPTU) NO MUNICÍPIO DE EUNÁPOLIS</t>
  </si>
  <si>
    <t>A UTILIZAÇÃO DO CONCEITO DE RACIONALIDADE NA TEORIA NEOCLÁSSICA, POR KEYNES E NA TEORIA NOVO-CLÁSSICA</t>
  </si>
  <si>
    <t>2005-07</t>
  </si>
  <si>
    <t>O IDOSO NO MERCADO DE TRABALHO INFORMAL EM ITABUNA, BAHIA</t>
  </si>
  <si>
    <t>ANÁLISES COMPARATIVAS ENTRE AS ESCOLAS CLÁSSICA, NEOCLÁSSICA, MONETARISTA, NOVO - CLÁSSICA NOVA – KEYNESIANA E PÓS - KEYNESIANA</t>
  </si>
  <si>
    <t>AVALIAÇÃO SOCIOECONÔMICA DOS BADAMEIROS QUE ATUAM NO ATERRO SANITÁRIO DE ILHÉUS</t>
  </si>
  <si>
    <t>VIABILIDADE ECONÔMICO E FINANCEIRA PARA INSTALAÇÃO DE UMA PET SHOP EM ILHÉUS - BA</t>
  </si>
  <si>
    <t>O SETOR DE SERVIÇOS: DELINEAMENTO TEÓRICO, CRESCIMENTO E APLICABILIDADE DA LEI DE ENGEL NA ECONOMIA BRASILEIRA NO PERÍODO DE 1990 A 2003</t>
  </si>
  <si>
    <t>ASPECTOS DA POLÍTICA HABITACIONAL BRASILEIRA: HABITAÇÃO DE INTERESSE SOCIAL EM ITABUNA</t>
  </si>
  <si>
    <t>UMA ANÁLISE DAS TRANSFORMAÇÕES ECONÔMICAS DO GOVERNO GETÚLIO VARGAS</t>
  </si>
  <si>
    <t>AVALIAÇÃO DA CREDIBILIDADE DA POLÍTICA MONETÁRIA BRASILEIRA APÓS A ADOÇÃO DO REGIME DE METAS DE INFLAÇÃO</t>
  </si>
  <si>
    <t xml:space="preserve">ESTUDO SOBRE O CONSUMO BRASILEIRO NO PERÍODO DO PLANO REAL: UMA ANÁLISE EMPÍRICA. </t>
  </si>
  <si>
    <t>REGIÃO CACAUEIRA DA BAHIA: UMA INTERPRETAÇÃO A PARTIR DA VISÃO DA ELITE REGIONAL, NO PERÍODO DE 1965 A 1980</t>
  </si>
  <si>
    <t>DETERMINANTES DA DEMANDA POR MOEDA NO BRASIL, NO PERÍODO: 1995 - 2002</t>
  </si>
  <si>
    <t>VIABILIDADE ECONÔMICO FINANCEIRA DA CRIAÇÃO DE AVESTRUZ NO MUNICÍPIO DE UNA-BAHIA</t>
  </si>
  <si>
    <t>O PROGRAMA DE PESQUISA DE LAKATOS: UMA INTERPRETAÇÃO DAS ESCOLAS MARXISTA, NEOCLÁSSICA E KEYNESIANA</t>
  </si>
  <si>
    <t>A ECONOMIA INFORMAL EM ITABUNA: O CASO DAS MICRO-NEGOCIANTES DE ROUPAS.</t>
  </si>
  <si>
    <t>ANÁLISE DO COMPORTAMENTO DOS PREÇOS DA CESTA BÁSICA NAS CIDADES DE ITABUNA E ILHÉUS NO TRIÊNIO 2001 / 2002 / 2003.</t>
  </si>
  <si>
    <t>ANÁLISE DO PERFIL SÓCIO-ECONÔMICO DOS JOVENS QUE INTEGRAM O PROJETO APRENDENDO A TRABALHAR NA UNIVERSIDADE ESTADUAL DE SANTA CRUZ - UESC</t>
  </si>
  <si>
    <t>A ECONOMIA DO ALGODÃO NA MICRORREGIÃO DE GUANAMBI, BAHIA</t>
  </si>
  <si>
    <t>INFLUÊNCIA DE POLÍTICAS AMBIENTAIS NO DESEMPENHO DO SETOR INDUSTRIAL MADEIREIRO DA MICRORREGIÃO DE GANDU - BA</t>
  </si>
  <si>
    <t>ESTUDO DE VIABILIDADE ECONÔMICO-FINANCEIRA DO CULTIVO DE FLORES TROPICAIS NO MUNICÍPIO DE ILHÉUS-BA</t>
  </si>
  <si>
    <t>POLÍTICAS MONETÁRIAS E AS ESCOLAS MACROECONÔMICAS</t>
  </si>
  <si>
    <t>O DESENVOLVIMENTO ECONÔMICO DO BRASIL DOS ANOS 50: A VISÃO LIBERAL E A VISÃO DESENVOLVIMENTISTA</t>
  </si>
  <si>
    <t>ANÁLISE DO DESENVOLVIMENTO DO ECOTURISMO NA APA DA LAGOA ENCANTADA – ILHÉUS - BAHIA.</t>
  </si>
  <si>
    <t>PERFIL, PREFERÊNCIAS E MOTIVAÇÕES POR TURISMO DA TERCEIRA IDADE NA REGIÃO SUL DA BAHIA/2005</t>
  </si>
  <si>
    <t>COMERCIALIZAÇÃO DE CUPUAÇU NO MUNICÍPIO DE ILHÉUS-BA</t>
  </si>
  <si>
    <t xml:space="preserve">ESTUDO DO MERCADO CONSUMIDOR PARA IMPLANTAÇÃO DE UM RESTAURANTE POPULAR EM ITABUNA - BAHIA </t>
  </si>
  <si>
    <t>ANÁLISE DA INFLUÊNCIA DA TAXA DE CÂMBIO NAS EXPORTAÇÕES BRASILEIRA NO PERÍODO DE 1990 A 2000</t>
  </si>
  <si>
    <t>O MULTIPLICADOR TURÍSTICO DE ITACARÉ - BA: O CASO DOS MEIOS DE HOSPEDAGEM</t>
  </si>
  <si>
    <t>CARACTERIZAÇÃO DA COMERCIALIZAÇÃO DE PÓLEN APÍCOLA PELA COOPERPÓLEN NO MUNICÍPIO DE CANAVIEIRAS-BAHIA.</t>
  </si>
  <si>
    <t>A EVOLUÇÃO DA TEORIA QUANTITATIVA DA MOEDA: DAS CONCEPÇÕES FILOSÓFICAS AO MONETARISMO</t>
  </si>
  <si>
    <t>BUROCRACIA X BUROCRATISMO: UMA ANÁLISE DO CONCEITO DE MAX WEBER.</t>
  </si>
  <si>
    <t>PRODUÇÃO E COMERCIALIZAÇÃO DO MAMÃO: UMA ANÁLISE COMPARATIVA ENTRE OS ESTADOS DA BAHIA E ESPÍRITO SANTO</t>
  </si>
  <si>
    <t>O MULTIPLICADOR ECONÔMICO DA RENDA TURÍSTICA DOS MEIOS DE HOSPEDAGEM DO MUNICÍPIO DE CANAVIEIRAS – BA.</t>
  </si>
  <si>
    <t>INDICADORES DE EFICIÊNCIA DA COOPERATIVA CREDICOOGRAP NO MUNICÍPIO DE ITABUNA, BAHIA: UMA ANÁLISE SÓCIO-ECONÔMICA DO PERÍODO DE 1995 A 2003</t>
  </si>
  <si>
    <t>O PERFIL DOS FUNCIONÁRIOS DA PRODUÇÃO E APOIO À PRODUÇÃO DA SIDERURGIA: ESTUDO DE CASO DA USINA SIDERÚRGICA DE TRANSFORMAÇÃO (USIT)</t>
  </si>
  <si>
    <t>ANÁLISE DE VIABILIDADE ECONÔMICA DA IMPLANTAÇÃO DE UMA INDÚSTRIA DE RECICLAGEM DE EMBALAGENS DE PET NA REGIÃO DE ITABUNA/ILHÉUS-BAHIA</t>
  </si>
  <si>
    <t>ASPECTOS SOCIOECONÔMICOS DA COLETA SELETIVA DE RESÍDUOS SÓLIDOS URBANOS: a viabilidade o para a implantação da cooperativa de catadores na cidade de Ilhéus- Bahia</t>
  </si>
  <si>
    <t>Idalicio Galvão Cavalcante</t>
  </si>
  <si>
    <t>AVALIAÇÃO DAS POLÍTICAS ECONÔMICAS DOPLANO DE METAS: governo JK 1956/61</t>
  </si>
  <si>
    <t>Wagner Oliveira Ayres de Almeida Freitas</t>
  </si>
  <si>
    <t xml:space="preserve">Não tem elementos pré-textuais no cd </t>
  </si>
  <si>
    <t>O IDH COMO INDICADOR DE DESENVOLVIMENTO DO ESTADO DA BAHIA 1991 A 2000: um comparativo com o IDH do Nordeste e o IDH do Brasil</t>
  </si>
  <si>
    <t>Grasiela Fonseca Nascimento</t>
  </si>
  <si>
    <t>arquivo em branco</t>
  </si>
  <si>
    <t>O PERFIL DOS TRABALHADORES INFORMAIS QUE ATUARAM NO CARNAVAL ANTECIPADO DE ITABUNA NO ANO DE 2005</t>
  </si>
  <si>
    <t>ANÁLISE DOS BENEFICIADOS PELO SEGURO DESEMPREGO NO MUNICÍPIO DE ITABUNA, BAHIA, NO ANO DE 2006</t>
  </si>
  <si>
    <t>FORMAÇÃO UNIVERSITÁRIA E EMPREGO: O CASO DOS EGRESSOS DO CURSO DE ADMINISTRAÇÃO DE EMPRESAS DA UESC, ENTRE 2000 E 2004</t>
  </si>
  <si>
    <t>A QUESTÃO METODOLÓGICA NO ÂMBITO DA CIÊNCIA ECONÔMICA</t>
  </si>
  <si>
    <t>TERCEIRIZAÇÃO NO SISTEMA BANCÁRIO PÚBLICO E SEUS EFEITOS SOCIOECONÔMICOS: UM ESTUDO DE CASO DAS AGÊNCIAS DA CAIXA ECONÔMICA FEDERAL EM ITABUNA, BAHIA</t>
  </si>
  <si>
    <t>2006-06</t>
  </si>
  <si>
    <t>O POLO DE INFORMÁTICA SOB A ÓTICA DO CRESCIMENTO ECONÔMICO DO MUNICÍPIO DE ILHÉUS - BAHIA, NO PERÍODO 2001 A 2005.</t>
  </si>
  <si>
    <t>TCC sem resumo</t>
  </si>
  <si>
    <t>2006-07</t>
  </si>
  <si>
    <t>ANÁLISE DO ABSENTEÍSMO NA INDÚSTRIA DE BOLAS NO PERÍODO DE 2003 - 2005: UM ESTUDO DE CASO DA FÁBRICA DE BOLAS DA PENALTY EM ITABUNA – BA.</t>
  </si>
  <si>
    <t>2006-08</t>
  </si>
  <si>
    <t>ANÁLISE DA MORTALIDADE DAS MICROEMPRESAS E EMPRESAS DE PEQUENO PORTE NO BRASIL</t>
  </si>
  <si>
    <t>2006-09</t>
  </si>
  <si>
    <t>ANÁLISE DO PROCESSO DE DESCONCENTRAÇÃO DA ATIVIDADE PRODUTIVA NO BRASIL DURANTE A DÉCADA DE NOVENTA</t>
  </si>
  <si>
    <t>2006-10</t>
  </si>
  <si>
    <t>TEORIA DO VALOR: UMA INVESTIGAÇÃO SOBRE A NATUREZA DO VALOR DOS BENS</t>
  </si>
  <si>
    <t>2006-11</t>
  </si>
  <si>
    <t>IMPACTO ECONÔMICO DO AGRONEGÓCIO NO MUNICÍPIO DE URUÇUCA, BAHIA: A IMPLANTAÇÃO DA INACERES</t>
  </si>
  <si>
    <t>2006-12</t>
  </si>
  <si>
    <t>DESENVOLVIMENTO SUSTENTÁVEL: UMA QUESTÃO DE EDUCAÇÃO AMBIENTAL</t>
  </si>
  <si>
    <t>2006-13</t>
  </si>
  <si>
    <t>ANÁLISE DA QUALIDADE EM PRESTAÇÃO DE SERVIÇO NO HOTEL TRANSAMÉRICA - ILHA DE COMANDATUBA, UMA - BAHIA, APÓS A CERTIFICAÇÃO ISO 9002</t>
  </si>
  <si>
    <t>2006-14</t>
  </si>
  <si>
    <t>GESTÃO AMBIENTAL MUNICIPAL: PLANEJAMENTO E EXECUÇÃO DAS POLÍTICAS SUSTENTÁVEIS NO MUNICÍPIO DE ITABUNA – BAHIA NO PERÍODO DE 2005 – 2006.</t>
  </si>
  <si>
    <t>2006-15</t>
  </si>
  <si>
    <t>LEITURA MACROECONÔMICA DA ESCOLA MONETARISTA</t>
  </si>
  <si>
    <t>2006-16</t>
  </si>
  <si>
    <t>O MULTIPLICADOR ECONÔMICO DA RENDA TURÍSTICA COM BASE NOS MEIOS DE HOSPEDAGEM DO MUNICÍPIO DE ITUBERÁ – BAHIA.</t>
  </si>
  <si>
    <t>2006-17</t>
  </si>
  <si>
    <t>IMPACTO DA AÇÃO ANTRÓPICA SOBRE A MATA ATLÂNTICA – SUL DA BAHIA</t>
  </si>
  <si>
    <t>2006-18</t>
  </si>
  <si>
    <t>VIABILIDADE ECONÔMICA DE UMA INDÚSTRIA DE RECICLAGEM DE GARRAFAS PET NO MUNICÍPIO DE EUNÁPOLIS - BA</t>
  </si>
  <si>
    <t>2006-19</t>
  </si>
  <si>
    <t>ANÁLISE ECONÔMICA DE DIFERENTES SISTEMAS DE PRODUÇÃO DE BIODIESEL NA BAHIA</t>
  </si>
  <si>
    <t>2006-20</t>
  </si>
  <si>
    <t>ANÁLISE DAS CONTAS PÚBLICAS DO MUNICÍPIO DE IBICARAÍ – BA, NO PERÍODO DE 1996 A 2000.</t>
  </si>
  <si>
    <t>2006-21</t>
  </si>
  <si>
    <t>A POLÍTICA REGIONAL PARA O NORDESTE BASEADA NA RENÚNCIA FISCAL DO GOVERNO FEDERAL: 1998 – 2005</t>
  </si>
  <si>
    <t>2006-22</t>
  </si>
  <si>
    <t>ANÁLISE DAS PRINCIPAIS VARIÁVEIS DO DESEMPREGO NO BRASIL NO PERÍODO DE 1994 A 2001</t>
  </si>
  <si>
    <t>2006-23</t>
  </si>
  <si>
    <t>ANÁLISE DO USO DO SOFTWARE LIVRE EM ITABUNA – BA: ASPECTOS ECONÔMICOS E SOCIAIS</t>
  </si>
  <si>
    <t>2006-24</t>
  </si>
  <si>
    <t>EMPREGO DA ENERGIA SOLAR NO AQUECIMENTO DE ÁGUA PARA BANHO</t>
  </si>
  <si>
    <t>2006-25</t>
  </si>
  <si>
    <t>ECONOMIA INSTITUCIONAL: DE VEBLEN AOS ATUAIS DIAS</t>
  </si>
  <si>
    <t>2006-26</t>
  </si>
  <si>
    <t>ANÁLISE DO PADRÃO DE VIDA DOS MORADORES DO CONJUNTO HABITACIONAL NOVO HORIZONTE NO MUNICÍPIO DE GUANAMBI-BAHIA</t>
  </si>
  <si>
    <t>2006-27</t>
  </si>
  <si>
    <t>O MERCADO DE CACAU E CHOCOLATE FINO E ORGÂNICO COMO ALTERNATIVA DE MELHORIA DOS PREÇOS ATRAVÉS DO COMÉRCIO JUSTO</t>
  </si>
  <si>
    <t>2006-28</t>
  </si>
  <si>
    <t>UMA ABORDAGEM DO DESEMPREGO NO BRASIL, SOB A ANÁLISE COMPARATIVA DO IBGE, DIEESE E SEADE COM ÍNDICES NO PERÍODO DE 13 ANOS (1989 A 2001)</t>
  </si>
  <si>
    <t>2006-29</t>
  </si>
  <si>
    <t>CORREDOR CENTRAL DA MATA ATLÂNTICA E O MECANISMO DE DESENVOLVIMENTO LIMPO: O VALOR ESTIMADO DA MATA ATLÂNTICA DO SUL DA BAHIA EM RELAÇÃO AO CRÉDITO DE CARBONO</t>
  </si>
  <si>
    <t>2006-30</t>
  </si>
  <si>
    <t>GLOBALIZAÇÃO ECONÔMICA: ANÁLISE DO PÓS SEGUNDA GUERRA MUNDIAL ATÉ A INSERÇÃO DAS ECONOMIAS EMERGENTES DA AMÉRICA LATINA</t>
  </si>
  <si>
    <t>2006-31</t>
  </si>
  <si>
    <t xml:space="preserve">OS EFEITOS DOS IMPACTOS SAZONAIS: UMA ANÁLISE DO SETOR HOTELEIRO DE ILHÉUS-BAHIA </t>
  </si>
  <si>
    <r>
      <rPr>
        <rFont val="Arial"/>
        <color theme="1"/>
        <sz val="11.0"/>
      </rPr>
      <t xml:space="preserve">Turismo, efeitos sazonais, meios de hospedagem, </t>
    </r>
    <r>
      <rPr>
        <rFont val="Arial"/>
        <i/>
        <color theme="1"/>
        <sz val="11.0"/>
      </rPr>
      <t>trade</t>
    </r>
    <r>
      <rPr>
        <rFont val="Arial"/>
        <color theme="1"/>
        <sz val="11.0"/>
      </rPr>
      <t xml:space="preserve"> turístico.</t>
    </r>
  </si>
  <si>
    <t>2006-32</t>
  </si>
  <si>
    <t>ADMINISTRAÇÃO DA DÍVIDA PÚBLICA BRASILEIRA: UMA ANÁLISE PÓS – PLANO REAL, NO PERÍODO DE 1994 À 2005</t>
  </si>
  <si>
    <t>2006-33</t>
  </si>
  <si>
    <t>PERFIL DO TURISTA QUE DESEMBARCA NO AEROPORTO JORGE AMADO E A SUA PERCEPÇÃO SOBRE OS SERVIÇOS OFERECIDOS PELO MESMO</t>
  </si>
  <si>
    <t>2006-34</t>
  </si>
  <si>
    <t>ANÁLISE COMPARATIVA DA EVOLUÇÃO DA ESTRUTURA DA DÍVIDA PÚBLICA DOS MUNICÍPIOS DE ITABUNA E ILHÉUS, BAHIA, ENTRE 1996 A 2003</t>
  </si>
  <si>
    <t>2006-35</t>
  </si>
  <si>
    <t>O MERCADO CONSUMIDOR DE ALIMENTAÇÃO FAST FOOD: UM ESTUDO NA PRAÇA DE ALIMENTAÇÃO NO JEQUITIBÁ PLAZA SHOPPING, ITABUNA, BAHIA</t>
  </si>
  <si>
    <r>
      <rPr>
        <rFont val="Arial"/>
        <color theme="1"/>
        <sz val="11.0"/>
      </rPr>
      <t xml:space="preserve">Consumidor, </t>
    </r>
    <r>
      <rPr>
        <rFont val="Arial"/>
        <i/>
        <color theme="1"/>
        <sz val="11.0"/>
      </rPr>
      <t>fast food</t>
    </r>
    <r>
      <rPr>
        <rFont val="Arial"/>
        <color theme="1"/>
        <sz val="11.0"/>
      </rPr>
      <t>, preferências.</t>
    </r>
  </si>
  <si>
    <t>2006-36</t>
  </si>
  <si>
    <t>CAPITAL SOCIAL: UMA ANÁLISE DA ASSOCIAÇÃO DE PEQUENOS PRODUTORES RURAIS UNIÃO DE TODOS NO RIO CIPÓ (APPRODUT), BUERAREMA-BAHIA, 2006</t>
  </si>
  <si>
    <t>2006-37</t>
  </si>
  <si>
    <t>O PROCESSO DE SUBSTITUIÇÃO DE IMPORTAÇÕES: UMA ABORDAGEM À INDUSTRIALIZAÇÃO BRASILEIRA COM ÊNFASE NO PERÍODO DE 1930 A 1960</t>
  </si>
  <si>
    <t>2006-38</t>
  </si>
  <si>
    <t>ANÁLISE DAS TEORIAS CEPALINAS NO PERÍODO DE 1949 À 1999</t>
  </si>
  <si>
    <t>2006-39</t>
  </si>
  <si>
    <t>ANÁLISE DA POLÍTICA MONETÁRIA PRATICADA DURANTE O GOVERNO FERNANDO COLLOR, NO PERÍODO DE 1990 A 1992</t>
  </si>
  <si>
    <t>2006-40</t>
  </si>
  <si>
    <t>ANÁLISE DO CUSTO / BENEFICIO DA SERINGUEIRA EM DIFERENTES SISTEMAS DE EXPLORAÇÃO</t>
  </si>
  <si>
    <t>2006-41</t>
  </si>
  <si>
    <t>A EXECUÇÃO ORÇAMENTÁRIA DA PREFEITURA MUNICIPAL DE SERRINHA (BAHIA) NO PERÍODO DE 1996-2004</t>
  </si>
  <si>
    <t>2006-42</t>
  </si>
  <si>
    <t>MERCADO E COMERCIALIZAÇÃO DO CAMARÃO PESCADO NOS MUNICÍPIOS DE ILHÉUS E ITACARÉ, BAHIA</t>
  </si>
  <si>
    <r>
      <rPr>
        <rFont val="Arial"/>
        <color theme="1"/>
        <sz val="11.0"/>
      </rPr>
      <t xml:space="preserve">Análise </t>
    </r>
    <r>
      <rPr>
        <rFont val="Arial"/>
        <i/>
        <color theme="1"/>
        <sz val="11.0"/>
      </rPr>
      <t>SWOT,</t>
    </r>
    <r>
      <rPr>
        <rFont val="Arial"/>
        <color theme="1"/>
        <sz val="11.0"/>
      </rPr>
      <t xml:space="preserve"> embarcações, margens de comercialização, tipologia dos pescadores.</t>
    </r>
    <r>
      <rPr>
        <rFont val="Times New Roman"/>
        <color theme="1"/>
        <sz val="11.0"/>
      </rPr>
      <t xml:space="preserve"> </t>
    </r>
  </si>
  <si>
    <t>2006-43</t>
  </si>
  <si>
    <t>A CONTROVÉRSIA TEÓRICA DOS SALÁRIOS NA ECONOMIA: A VISÃO CLÁSSICA, DE KEYNES E DE KALECKI</t>
  </si>
  <si>
    <t>2006-44</t>
  </si>
  <si>
    <t>ANÁLISE DA DEMANDA DE CARNE BOVINA NO BRASIL NO PERÍODO DE 1996 A 2005</t>
  </si>
  <si>
    <t>2006-45</t>
  </si>
  <si>
    <t>O PERFIL DOS CLIENTES DO OMEGA HOTEL, ITABUNA-BAHIA: ESTUDO DE CASO DE FIDELIDADE NO PERÍODO DE 2004-2005</t>
  </si>
  <si>
    <t>2006-46</t>
  </si>
  <si>
    <t xml:space="preserve">ANÁLISE DO CRESCIMENTO DO BENEFÍCIO DE AUXÍLIO-DOENÇA: IMPACTO NA PREVIDÊNCIA SOCIAL DO BRASIL, 2000 – 2005 </t>
  </si>
  <si>
    <t>2006-47</t>
  </si>
  <si>
    <t>A ATIVIDADE DO ECONEGÓCIO DA MATA ATLÂNTICA: O CASO DAS FIBRAS DE CIPÓS NOS MUNICÍPIOS DE ILHÉUS E ITABUNA, BAHIA</t>
  </si>
  <si>
    <t>2006-48</t>
  </si>
  <si>
    <t>ANÁLISE DA INFRA-ESTRUTURA DE APOIO TURÍSTICO: O CASO DO MUNICÍPIO DE ILHÉUS-BA. PERCEPÇÃO DOS TURISTAS E MORADORES</t>
  </si>
  <si>
    <t>2006-49</t>
  </si>
  <si>
    <t>ANÁLISE DOS IMPACTOS SOCIOECONÔMICOS DA ATIVIDADE TURÍSTICA EM ITACARÉ - BAHIA</t>
  </si>
  <si>
    <t>2006-50</t>
  </si>
  <si>
    <t>FETICHE DO COOPERATIVISMO DE TRABALHO: COOLABOR.</t>
  </si>
  <si>
    <t>2006-51</t>
  </si>
  <si>
    <t>CAPACITAÇÃO DA MÃO-DE-OBRA NO SETOR HOTELEIRO DA CIDADE DE ITABUNA – BAHIA</t>
  </si>
  <si>
    <t>2006-52</t>
  </si>
  <si>
    <t>TURISMO DE EVENTOS: O POTENCIAL DE ITABUNA – BA</t>
  </si>
  <si>
    <t>2006-53</t>
  </si>
  <si>
    <t>O IMPACTO ECONÔMICO DA IMPLANTAÇÃO DA ISO 9001:2000 NOS CUSTOS E RECEITAS DAS EMPRESAS DE INFORMÁTICA DE ILHÉUS: ESTUDO DE CASO: A LÍDER CHIP COMPUTADORES</t>
  </si>
  <si>
    <t>2006-54</t>
  </si>
  <si>
    <t>COMPORTAMENTO DO CUSTO DA CESTA BÁSICA NAS CIDADES DE ILHÉUS E ITABUNA, BAHIA, AGOSTO DE 2004 A JUNHO DE 2006</t>
  </si>
  <si>
    <t>2006-55</t>
  </si>
  <si>
    <t>A EVOLUÇÃO DA EXPORTAÇÃO DE CARNE BOVINA BRASILEIRA NO PERÍODO DE 1996 A 2004</t>
  </si>
  <si>
    <t>2006-56</t>
  </si>
  <si>
    <t>O IMPACTO DAS TAXAS DE DESEMPREGO ABERTO NO MERCADO INFORMAL: UM ESTUDO ENTRE OS ANOS DE 1995 A 2000 NO BRASIL</t>
  </si>
  <si>
    <t>2006-57</t>
  </si>
  <si>
    <t>ANÁLISE DA EVOLUÇÃO DO PRODUTO INTERNO BRUTO, POR SETOR DE ATIVIDADE ECONÔMICA, DO MUNICÍPIO DE ILHÉUS – BAHIA, ENTRE OS ANOS DE 1999 E 2003</t>
  </si>
  <si>
    <t>2006-58</t>
  </si>
  <si>
    <t>ANÁLISE DO DESENVOLVIMENTO DO ECOTURISMO EM ITAITÚ - MUNICÍPIO DE JACOBINA - BA</t>
  </si>
  <si>
    <t>2006-59</t>
  </si>
  <si>
    <t>O PERFIL DO ATENDIMENTO DA SORVETERIA FLORENÇA</t>
  </si>
  <si>
    <t>2006-60</t>
  </si>
  <si>
    <t>CRÉDITO HABITACIONAL: acesso à população de baixa renda no município de Itabuna, Bahia</t>
  </si>
  <si>
    <t>2006-61</t>
  </si>
  <si>
    <t>CONTRIBUIÇÃO DA ASSOCIOÇÃO DE ARTESÕES DE ITABUNA NO DESENVOLVIMENTO  SÓCIOECONÔMICO DESSES PROFISSIONAIS</t>
  </si>
  <si>
    <t>2007-01</t>
  </si>
  <si>
    <t>AS CAUSAS DA INADIMPLÊNCIA NOS FINANCIAMENTOS HABITACIONAIS DA CAIXA ECONÔMICA FEDERAL, AGÊNCIA CENTRO, VITÓRIA DA CONQUISTA-BAHIA, NO ANO DE 2006</t>
  </si>
  <si>
    <t>2007-02</t>
  </si>
  <si>
    <t>ANÁLISE DAS CONDIÇÕES SÓCIO-ECONÔMICAS DOS POLICIAIS MILITARES NA CIDADE DE ILHÉUS - BAHIA, NO PERÍODO 2005-2006</t>
  </si>
  <si>
    <t>2007-03</t>
  </si>
  <si>
    <t>O TURISMO RECEPTIVO NO PERÍODO DE ROMARIA (2006) EM BOM JESUS DA LAPA (BAHIA)</t>
  </si>
  <si>
    <t>2007-04</t>
  </si>
  <si>
    <t>ANÁLISE DA POLÍTICA CAMBIAL ADOTADA DURANTE O PLANO REAL NO PERÍODO  DE JUNHO DE 1994 A JANEIRO DE 2000</t>
  </si>
  <si>
    <t>2007-05</t>
  </si>
  <si>
    <t>CONTABILIDADE GERENCIAL: FONTE DE DADOS PARA A TOMADA DE DECISÕES NAS EMPRESAS</t>
  </si>
  <si>
    <t>2007-06</t>
  </si>
  <si>
    <t>DESENVOLVIMENTO ECONÔMICO DE PORTUGAL NO PERÍODO DE 1995 - 2005, À LUZ DE SCHUMPETER</t>
  </si>
  <si>
    <t>2007-07</t>
  </si>
  <si>
    <t>INFLUÊNCIA DA TAXA DE CÂMBIO SOBRE A INFLAÇÃO BRASILEIRA NO PERÍODO DO PLANO REAL, 1994 – 2007</t>
  </si>
  <si>
    <t>2007-08</t>
  </si>
  <si>
    <t>DIAGNÓSTICO SÓCIO-ECONÔMICO DO CARNAVAL ANTECIPADO DE ITABUNA – BAHIA, EM 2006</t>
  </si>
  <si>
    <t>2007-09</t>
  </si>
  <si>
    <t>ANÁLISE DO SETOR AGROINDUSTRIAL DO MUNICÍPIO DE UNA - BAHIA</t>
  </si>
  <si>
    <t>2007-10</t>
  </si>
  <si>
    <t>O COMPORTAMENTO DO CONSUMIDOR DE CERVEJAS EM ILHÉUS, BAHIA</t>
  </si>
  <si>
    <t>2007-11</t>
  </si>
  <si>
    <t xml:space="preserve">ASPECTOS QUE INFLUENCIAM O NÍVEL DE RENDA DOS RADIALISTAS DE ITABUNA </t>
  </si>
  <si>
    <t>2007-12</t>
  </si>
  <si>
    <t>DISTRIBUIÇÃO DE RENDA E CRESCIMENTO ECONÔMICO NOS ANOS 90, NO ESTADO DA BAHIA</t>
  </si>
  <si>
    <t>2007-13</t>
  </si>
  <si>
    <t>COMERCIALIZAÇÃO DE FLORES E FOLHAGENS TROPICAIS NO MUNICÍPIO DE ILHÉUS-BAHIA, 2006 – 2007</t>
  </si>
  <si>
    <t>2007-14</t>
  </si>
  <si>
    <t>PERFIL SOCIOECONÔMICO DO VENDEDOR AMBULANTE LIGADO À ATIVIDADE TURÍSTICA NAS PRAIAS DA CIDADE DE ILHÉUS, BAHIA</t>
  </si>
  <si>
    <t>2007-15</t>
  </si>
  <si>
    <t xml:space="preserve">ANÁLISE DOS FEIRANTES DA PRAÇA VEREADOR JOSÉ ADRY NO MUNICÍPIO DE ITAJUÍPE (BAHIA) </t>
  </si>
  <si>
    <t>2007-16</t>
  </si>
  <si>
    <t>O MEIO AMBIENTE E O DESENVOLVIMENTO SUSTENTÁVEL: UMA ABORDAGEM DESENVOLVIDA A PARTIR DAS TEORIAS DO VALOR-TRABALHO E DO VALOR-UTILIDADE MARGINAL.</t>
  </si>
  <si>
    <t>2007-17</t>
  </si>
  <si>
    <t>UMA INVESTIGAÇÃO DAS CAUSAS DO CRESCIMENTO ECONÔMICO CHINÊS NAS ÚLTIMAS TRÊS DÉCADAS</t>
  </si>
  <si>
    <t>2007-18</t>
  </si>
  <si>
    <t>AS CONTRIBUIÇÕES DO ASSOCIATIVISMO PARA O DESENVOLVIMENTO ECONÔMICO: O CASO BARRA DO CHOÇA - BA</t>
  </si>
  <si>
    <t>2007-19</t>
  </si>
  <si>
    <t>A BUSCA DA ESTABILIZAÇÃO ECONÔMICA: UMA INTERPRETAÇÃO HISTÓRICO-ECONÔMICA DO GOVERNO COLLOR DE MELLO.</t>
  </si>
  <si>
    <r>
      <rPr>
        <rFont val="Arial"/>
        <color theme="1"/>
        <sz val="11.0"/>
      </rPr>
      <t xml:space="preserve">Inflação, recessão, estabilização econômica, </t>
    </r>
    <r>
      <rPr>
        <rFont val="Arial"/>
        <i/>
        <color theme="1"/>
        <sz val="11.0"/>
      </rPr>
      <t>impeachment</t>
    </r>
    <r>
      <rPr>
        <rFont val="Arial"/>
        <color theme="1"/>
        <sz val="11.0"/>
      </rPr>
      <t>.</t>
    </r>
  </si>
  <si>
    <t>2007-20</t>
  </si>
  <si>
    <t>ANÁLISE DA IMPORTÂNCIA DA AUDITORIA FISCAL E DO PLANEJAMENTO MUNICIPAL NA ARRECADAÇÃO DO ISS NO MUNICÍPIO DE ILHÉUS, BAHIA, 1998 A 2006.</t>
  </si>
  <si>
    <t>2007-21</t>
  </si>
  <si>
    <t>IMPACTO DO NÍVEL DE GASTO SOCIAL DO GOVERNO FEDERAL NO PRODUTO INTERNO BRUTO DURANTE O PERÍODO DE 1995 À 2004.</t>
  </si>
  <si>
    <t>2007-22</t>
  </si>
  <si>
    <t>SERVIÇOS DE AUTO-ATENDIMENTO: ANÁLISE DO GRAU DE SATISFAÇÃO DOS CLIENTES DO BANCO DO BRASIL, AGÊNCIAS CENTRO, ITABUNA – BAHIA</t>
  </si>
  <si>
    <t>2007-23</t>
  </si>
  <si>
    <t>ANÁLISE DO DESENVOLVIMENTO ECONÔMICO DA BAHIA, NO PERÍODO DE 1990 A 2005</t>
  </si>
  <si>
    <t>2007-24</t>
  </si>
  <si>
    <t>PERFIL SOCIOECONÔMICO DOS TRABALHADORES DO COMÉRCIO INFORMAL DO MUNICÍPIO DE IBICARAÍ</t>
  </si>
  <si>
    <t>2007-25</t>
  </si>
  <si>
    <t>TERCEIRIZAÇÃO DAS ATIVIDADES BANCÁRIAS: GRAU DE SATISFAÇÃO DOS USUÁRIOS DA LOTÉRICA QUINA DE OURO NO BAIRRO SÃO CAETANO EM ITABUNA - BAHIA</t>
  </si>
  <si>
    <t>2007-26</t>
  </si>
  <si>
    <t>IMPACTO DA VERACEL NA GERAÇÃO DE EMPREGO DIRETO, DURANTE O PERÍODO DE CONSTRUÇÃO E FUNCIONAMENTO DE SUA FÁBRICA PARA MUNICÍPIO DE EUNÁPOLIS – BAHIA (2003 – 2006)</t>
  </si>
  <si>
    <t>2007-27</t>
  </si>
  <si>
    <t>DETERMINANTES DA DEMANDA DE HORTALIÇAS ORGÂNICAS EM ILHÉUS, BAHIA</t>
  </si>
  <si>
    <t>2007-28</t>
  </si>
  <si>
    <t>UM OLHAR NA REFORMA AGRÁRIA: O CASO DA EXPERIÊNCIA DO ASSENTAMENTO TERRA VISTA, EM ARATACA - BAHIA.</t>
  </si>
  <si>
    <t>2007-29</t>
  </si>
  <si>
    <t>ICB E CEPLAC: AS INTERVENÇÕES EFETIVAS DO ESTADO NA ECONOMIA CACAUEIRA BAIANA</t>
  </si>
  <si>
    <t>2007-30</t>
  </si>
  <si>
    <t>UM ESTUDO DO PERFIL SÓCIO-ECONÔMICO DOS TRABALHADORES DO COMÉRCIO INFORMAL DA PRAÇA JOSÉ BASTOS, NA CIDADE DE ITABUNA – BAHIA, EM 2006.</t>
  </si>
  <si>
    <t>2007-31</t>
  </si>
  <si>
    <t xml:space="preserve">ANÁLISE DO DESEMPENHO DA INDÚSTRIA DE TRANSFORMAÇÃO BRASILEIRA NA DÉCADA DE 1990 </t>
  </si>
  <si>
    <t>2007-32</t>
  </si>
  <si>
    <t>O PROCESSO DE REESTRUTURAÇÃO DO SISTEMA BANCÁRIO NACIONAL A PARTIR DA IMPLANTAÇÃO DO PLANO REAL: 1994 – 2002</t>
  </si>
  <si>
    <t>2007-33</t>
  </si>
  <si>
    <t>PROGRAMAÇÃO PACTUADA INTEGRADA DE MÉDIA COMPLEXIDADE (PPI): UMA ANÁLISE COMPARATIVA ENTRE OS ANOS DE 2003 E 2006. MUNICÍPIO DE ITABUNA - BAHIA</t>
  </si>
  <si>
    <t>2007-34</t>
  </si>
  <si>
    <t>A INFLUÊNCIA DOS CARTÕES DE CRÉDITO E DÉBITO NOS RENDIMENTOS DE UM ESTABELECIMENTO COMERCIAL NO MUNICÍPIO DE ILHÉUS-BAHIA</t>
  </si>
  <si>
    <t>2007-35</t>
  </si>
  <si>
    <t>O CRÉDITO CONSIGNADO E SUA INFLUÊNCIA NO CONSUMO BRASILEIRO NO PERÍODO ENTRE 2001 E 2006</t>
  </si>
  <si>
    <t>2007-36</t>
  </si>
  <si>
    <t>POSSIBILIDADES DE TRANSFORMAÇÃO DA COLÔNIA DE PESCADORES Z-34 DE ILHÉUS EM COOPERATIVA: ANÁLISE DOS ASPECTOS SÓCIO-ECONÔMICOS</t>
  </si>
  <si>
    <t>2007-37</t>
  </si>
  <si>
    <t>O IMPACTO DO FUNDO DE PARTICIPAÇÃO DOS MUNICÍPIOS NAS FINANÇAS PÚBLICAS DE ITAJUÍPE (BAHIA) 2000 - 2006</t>
  </si>
  <si>
    <t>2007-38</t>
  </si>
  <si>
    <t>ANÁLISE DO PERFIL DO DESEMPREGADO DA REGIÃO METROPOLITANA DE SALVADOR – BAHIA DE 2000 A 2005</t>
  </si>
  <si>
    <t>2007-39</t>
  </si>
  <si>
    <t>VIABILIDADE ECONÔMICA DA PRODUÇÃO DO ÓLEO DE DENDÊ COMO MATÉRIA-PRIMA PARA A PRODUÇÃO DE BIOCOMBUSTÍVEL NO BAIXO SUL DA BAHIA</t>
  </si>
  <si>
    <t>2007-40</t>
  </si>
  <si>
    <t>ANÁLISE DA OFERTA TURÍSTICA PARA O DESENVOLVIMENTO DO TURISMO DE SERRA GRANDE – URUÇUCA, BAHIA (2007)</t>
  </si>
  <si>
    <t>2007-41</t>
  </si>
  <si>
    <t>DESVENDANDO A HISTÓRIA ECONÔMICA CONTEMPORÂNEA: A EXPERIÊNCIA BRASILEIRA DOS ANOS 80</t>
  </si>
  <si>
    <t>2007-42</t>
  </si>
  <si>
    <t>ANÁLISE ECONÔMICA DA PRODUÇÃO DE MARACUJÁ NO ESTADO DA BAHIA, 1990 A 2005</t>
  </si>
  <si>
    <t>2007-43</t>
  </si>
  <si>
    <t>ANÁLISE DO TURISMO RURAL NA FAZENDA BOLANDEIRA EM UNA – (BAHIA)</t>
  </si>
  <si>
    <t>2007-44</t>
  </si>
  <si>
    <t>A INFLUÊNCIA DA TAXA BÁSICA DE JUROS NO COMPORTAMENTO DO CONSUMIDOR DO SHOPPING JEQUITIBÁ PLAZA EM ITABUNA - BAHIA (2000-2007): UMA ABORDAGEM ECONOMÉTRICA</t>
  </si>
  <si>
    <t>2007-45</t>
  </si>
  <si>
    <t>VIABILIDADE ECONÔMICO-FINANCEIRA DA PISCICULTURA: UM ESTUDO DE CASO DO NEGÓCIO COMO ALTERNATIVA DE DIVERSIFICAÇÃO PARA A MICRORREGIÃO ILHÉUS-ITABUNA, BAHIA</t>
  </si>
  <si>
    <t>2007-46</t>
  </si>
  <si>
    <t>LEVANTAMENTO DO POTENCIAL TURÍSTICO DA FAZENDA MONTE ARARAT (ARATACA – BAHIA): UMA ANÁLISE SUBSIDIADA PELO PERFIL DOS FUNCIONÁRIOS E CARACTERÍSTICAS DA FAZENDA</t>
  </si>
  <si>
    <t>O resumo está correto, porém o nome do autor foi trocado</t>
  </si>
  <si>
    <t>2007-47</t>
  </si>
  <si>
    <t>O TURISMO RECEPTIVO DA CIDADE DE ITACARÉ (ESTADO DA BAHIA): UMA ANÁLISE COMPARATIVA ENTRE AS QUATRO ESTAÇÕES DO ANO DE 2007</t>
  </si>
  <si>
    <t>2007-48</t>
  </si>
  <si>
    <t>MERCADO E COMERCIALIZAÇÃO DO DENDÊ NO MUNICÍPIO DE VALENÇA, BAHIA</t>
  </si>
  <si>
    <t>2007-49</t>
  </si>
  <si>
    <t>A RESPONSABILIDADE SOCIAL NO PÓLO DE INFORMÁTICA DO MUNICÍPIO DE ILHÉUS, BAHIA: IMPORTÂNCIA E IMPLICAÇÕES ECONÔMICAS</t>
  </si>
  <si>
    <t>2007-50</t>
  </si>
  <si>
    <t>CARACTERIZAÇÃO DA COLETA DOS PRODUTOS DESTINADOS À RECICLAGEM NO MUNICÍPIO DE ILHÉUS, BAHIA</t>
  </si>
  <si>
    <t>2007-51</t>
  </si>
  <si>
    <t>UMA INVESTIGAÇÃO ACERCA DA TEORIA DE INOVAÇÃO DE SCHUMPETER SOB A ÓTICA DE POSSAS</t>
  </si>
  <si>
    <t>2007-52</t>
  </si>
  <si>
    <t>O ENIGMA DO CRESCIMENTO: O DEBATE ENTRE KEYNESIANOS E NEOCLÁSSICOS, E A ABORDAGEM DE PAUL ROMER.</t>
  </si>
  <si>
    <t>2007-53</t>
  </si>
  <si>
    <t>INFLUÊNCIA DA TAXA DE JUROS SOBRE O CONSUMO E INVESTIMENTO DURANTE O PERÍODO DE 1994 A 2004</t>
  </si>
  <si>
    <t>2007-54</t>
  </si>
  <si>
    <t>VIABILIDADE FINANCEIRA DA EMPRESA MEIA NOITE NA CIDADE DE ITABUNA, BAHIA</t>
  </si>
  <si>
    <t>sem resumo</t>
  </si>
  <si>
    <t>2007-55</t>
  </si>
  <si>
    <t>IMPACTOS SOCIOECONÔMICOS DA IMPLANTAÇÃO DO PROJETO DE IRRIGAÇÃO DO VALE DO BRUMADO EM LIVRAMENTO DE NOSSA SENHORA, BAHIA (1970-2005)</t>
  </si>
  <si>
    <t>2007-56</t>
  </si>
  <si>
    <t>ANÁLISE DOS GASTOS PÚBLICOS DO MUNICÍPIO DE UNA - BAHIA NO PERÍODO DE 1996 A 2006</t>
  </si>
  <si>
    <t>2007-57</t>
  </si>
  <si>
    <t>DESENVOLVIMENTO TURÍSTICO DE ITUBERÁ, BAHIA: UM ESTUDO DA POTENCIALIDADE TURÍSTICA DOS RECURSOS NATURAIS, EM 2007</t>
  </si>
  <si>
    <t>2007-58</t>
  </si>
  <si>
    <t>A ANÁLISE ECONÔMICO-FINANCEIRA DA EMPRESA RIMA DECORAÇÕES NO COMÉRCIO DE ITABUNA – BAHIA</t>
  </si>
  <si>
    <t>2007-59</t>
  </si>
  <si>
    <t>ESTIMATIVA DA CURVA DE PHILLIPS PARA O BRASIL: A RELAÇÃO ENTRE TAXA DE JUROS E CRESCIMENTO ECONÔMICO, INFLAÇÃO E O DESEMPREGO DE 1994 A 2005</t>
  </si>
  <si>
    <t>2007-60</t>
  </si>
  <si>
    <t>LEI DA UTILIDADE MARGINAL DECRESCENTE: UMA APLICAÇÃO EMPÍRICA NO MERCADO DE CERVEJA</t>
  </si>
  <si>
    <t>2007-61</t>
  </si>
  <si>
    <t>RESULTADO DA INTERVENÇÃO ESTATAL NA INDUSTRIALIZAÇÃO DA BAHIA A PARTIR DOS ANOS 90</t>
  </si>
  <si>
    <t>2007-62</t>
  </si>
  <si>
    <t>PLANO REAL: ANÁLISE DO PROGRAMA DE ESTABILIZAÇÃO NO PERÍODO DE 1994 A 1997</t>
  </si>
  <si>
    <t>2007-63</t>
  </si>
  <si>
    <t>A EVOLUÇÃO DOS GASTOS SOCIAIS FEDERAIS NO BRASIL DE 1995 A 2005</t>
  </si>
  <si>
    <t>2007-64</t>
  </si>
  <si>
    <t>ANÁLISE DA QUALIFICAÇÃO DA MÃO-DE-OBRA NOS BARES E RESTAURANTES NO CONTEXTO DA ATIVIDADE TURÍSTICA DA CIDADE DE ILHÉUS-BAHIA</t>
  </si>
  <si>
    <t>2007-65</t>
  </si>
  <si>
    <t>COMPORTAMENTO DAS CONTAS PÚBLICAS DO MUNICÍPIO DE SANTA CRUZ DA VITÓRIA, BAHIA, 1997 A 2003</t>
  </si>
  <si>
    <t>2007-66</t>
  </si>
  <si>
    <t>ESTUDO DE CASO DO PROJETO DE ASSENTAMENTO AUXILIADORA EM CAMACAN BAHIA</t>
  </si>
  <si>
    <t>sem resumo e toda parte pré-textual, que identifica o autor</t>
  </si>
  <si>
    <t>2007-67</t>
  </si>
  <si>
    <t>PROGRAMA DE GARANTIA DE RENDA MÍNIMA: a importância do Programa Bolsa Família nos pequenos municípios da microrregião Ilhéus-Itabuna, Bahia, em 2006.</t>
  </si>
  <si>
    <t>A FUNÇÃO SOCIAL DA CIDADE E DA PROPRIEDADE: considerações partindo da análise do plano diretor de Ilhéus, Bahia, 2006</t>
  </si>
  <si>
    <t>Lucas de Souza Santos</t>
  </si>
  <si>
    <t>arquivo não abre, apenas anexos em pdf</t>
  </si>
  <si>
    <t>A IMPORTÂNCIA ECONÔMICA DOS SERVIÇOS EDUCACIONAIS: o caso da EMARC em Uruçuca- Bahia, 2006</t>
  </si>
  <si>
    <t>Karine Alves Araújo</t>
  </si>
  <si>
    <t>2008-01</t>
  </si>
  <si>
    <t>ANÁLISE DO FEDERALISMO FISCAL BRASILEIRO, NO PERÍODO DE 1988 A 2005.</t>
  </si>
  <si>
    <t>2008-02</t>
  </si>
  <si>
    <t>O PENSAMENTO ECONÔMICO NO SÉCULO XX: a contribuição histórica da Comissão Econômica para a América Latina e Caribe- CEPAL </t>
  </si>
  <si>
    <t>2008-03</t>
  </si>
  <si>
    <t>A INTERVENÇÃO DO ESTADO NO BRASIL SEGUNDO A CONCEPÇÃO DE DEMANDA EFETIVA DE KEYNES, 1929-1935.</t>
  </si>
  <si>
    <t>2008-04</t>
  </si>
  <si>
    <t>ANÁLISE DO MERCADO DE SURFWEAR NA CIDADE DE ILHÉUS</t>
  </si>
  <si>
    <r>
      <rPr>
        <rFont val="Arial"/>
        <color theme="1"/>
        <sz val="11.0"/>
      </rPr>
      <t xml:space="preserve">Mercado de </t>
    </r>
    <r>
      <rPr>
        <rFont val="Arial"/>
        <i/>
        <color theme="1"/>
        <sz val="11.0"/>
      </rPr>
      <t>surfwear. C</t>
    </r>
    <r>
      <rPr>
        <rFont val="Arial"/>
        <color theme="1"/>
        <sz val="11.0"/>
      </rPr>
      <t>omercialização. Perfil do consumidor.</t>
    </r>
  </si>
  <si>
    <t>2008-05</t>
  </si>
  <si>
    <t>CARACTERÍSTICAS DO EMPREGO NAS ATIVIDADES TURÍSTICAS DO MUNICÍPIO DE CANAVIEIRAS – BAHIA, EM 2007</t>
  </si>
  <si>
    <t>2008-06</t>
  </si>
  <si>
    <t>TAXA DE CÂMBIO E O PREÇO DO CACAU NO SUL DA BAHIA, NO PERÍODO DE 2002 A 2007</t>
  </si>
  <si>
    <r>
      <rPr>
        <rFont val="Arial"/>
        <color theme="1"/>
        <sz val="11.0"/>
      </rPr>
      <t>Comércio internacional, bolsa de mercadorias,</t>
    </r>
    <r>
      <rPr>
        <rFont val="Arial"/>
        <color rgb="FF000000"/>
        <sz val="11.0"/>
      </rPr>
      <t xml:space="preserve"> preço de cacau e câmbio</t>
    </r>
  </si>
  <si>
    <t>2008-07</t>
  </si>
  <si>
    <t>FATORES QUE INFLUENCIAM A ESCOLHA DO CONSUMIDOR DA CENTRAL DE ABASTECIMENTO DE ILHÉUS, BAHIA.</t>
  </si>
  <si>
    <t>2008-08</t>
  </si>
  <si>
    <t>TRIBUTAÇÃO E DISTRIBUIÇÃO DE RENDA : uma análise dos impactos da carga tributária indireta sobre alimentação na cidade de Ilhéus - BA</t>
  </si>
  <si>
    <t xml:space="preserve">os elementos pré-textuais e o texto vieram separados em PDF, não sendo possível a junção. </t>
  </si>
  <si>
    <t>2008-09</t>
  </si>
  <si>
    <t>EXTERNALIDADES DA RECICLAGEM DE PET PARA O MUNICÍPIO DE ILHÉUS-BAHIA</t>
  </si>
  <si>
    <t>2008-10</t>
  </si>
  <si>
    <t>UM ESTUDO SOBRE OS FATORES DE DECISÃO DE COMPRA DOS CONSUMIDORES NO COMÉRCIO INFORMAL DO CENTRO DE ILHÉUS-BAHIA</t>
  </si>
  <si>
    <t>2008-11</t>
  </si>
  <si>
    <t>DESEMPENHO DA CARGA TRIBUTÁRIA E SUA RELAÇÃO COM O CRESCIMENTO ECONÔMICO NO BRASIL NO PERÍODO DE 1950 A 2007</t>
  </si>
  <si>
    <t>2008-12</t>
  </si>
  <si>
    <t>REESTRUTURAÇÃO PRODUTIVA DO SETOR INDUSTRIAL DO JAPÃO PÓS SEGUNDA GUERRA MUNDIAL: UMA RELAÇÃO ENTRE POLÍTICAS ESTRATÉGICAS INDUSTRIAIS E CRESCIMENTO ECONÔMICO</t>
  </si>
  <si>
    <t>2008-13</t>
  </si>
  <si>
    <t>O PANORAMA NACIONAL DO IMPOSTO SOBRE CIRCULAÇÃO DE MERCADORIAS E SERVIÇOS ECOLÓGICO (ICMS-E): UMA ANÁLISE DE CONTRIBUIÇÃO TRIBUTÁRIA PARA OS MUNICÍPIOS DO SUL DA BAHIA</t>
  </si>
  <si>
    <t>2008-14</t>
  </si>
  <si>
    <t>A IMPORTÂNCIA DO PADRÃO-OURO NA ESTABILIZAÇÃO DOS PREÇOS NO SISTEMA MONETÁRIO INTERNACIONAL NO PERÍODO DE 1870-1914</t>
  </si>
  <si>
    <t>2008-15</t>
  </si>
  <si>
    <t>A TEORIA LIBERAL NO BRASIL: O PENSAMENTO DE EUGÊNIO GUDIN, ROBERTO CAMPOS E GUSTAVO FRANCO</t>
  </si>
  <si>
    <t>2008-16</t>
  </si>
  <si>
    <t>ANÁLISE DAS POUSADAS COMO MEIO DE HOSPEDAGEM NA ZONA SUL DO MUNICÍPIO DE ILHÉUS – BAHIA</t>
  </si>
  <si>
    <t>2008-17</t>
  </si>
  <si>
    <t>PERCEPÇÃO DO USUÁRIO SOBRE O SERVIÇO DE TRANSPORTE PÚBLICO URBANO NA CIDADE DE ILHÉUS-BAHIA, ANO DE 2007</t>
  </si>
  <si>
    <t>2008-18</t>
  </si>
  <si>
    <t>ORÇAMENTO PARTICIPATIVO (OP): UMA CONTRIBUIÇÃO AO DEBATE NO MUNICÍPIO DE ITABUNA</t>
  </si>
  <si>
    <t>2008-19</t>
  </si>
  <si>
    <t>MÃO-DE-OBRA OCUPADA NOS MEIOS DE HOSPEDAGEM: UMA ANÁLISE DESCRITIVA PARA O MUNICÍPIO DE ITUBERÁ – BAHIA, EM 2007</t>
  </si>
  <si>
    <t>2008-20</t>
  </si>
  <si>
    <t xml:space="preserve">PERFIL AMBIENTAL DA MATA CILIAR NA BACIA HIDROGRÁFICA DO RIO CACHOEIRA NO MUNICÍPIO DE ITAPÉ: SUSTENTABILIDADE AMBIENTAL, E OPORTUNIDADE DE RECUPERAÇÃO NUMA ABORDAGEM ECONÔMICA. </t>
  </si>
  <si>
    <r>
      <rPr>
        <rFont val="Arial"/>
        <color theme="1"/>
        <sz val="11.0"/>
      </rPr>
      <t>Mata ciliar, meio ambiente, viabilidade, sustentabilidade, oportunidade, econômica, custos, pecuária, recuperação, área, recurso, rio</t>
    </r>
    <r>
      <rPr>
        <rFont val="Times New Roman"/>
        <color theme="1"/>
        <sz val="11.0"/>
      </rPr>
      <t xml:space="preserve">. </t>
    </r>
  </si>
  <si>
    <t>2008-21</t>
  </si>
  <si>
    <t>AS ANÁLISES FINANCEIRAS EM UMA EMPRESA APÓS O PROGRAMA DE ESTABILIZAÇÃO ECONÔMICA “PLANO REAL”: ESTUDO DE CASO DA EMPRESA CAMBUCI S/A</t>
  </si>
  <si>
    <t>2008-22</t>
  </si>
  <si>
    <t>A INFLUÊNCIA DO INVESTIMENTO EXTERNO DIRETO (IED) SOBRE O BALANÇO DE PAGAMENTOS BRASILEIRO DE 2002 A 2007</t>
  </si>
  <si>
    <t>2008-23</t>
  </si>
  <si>
    <t>ANÁLISE DO RISCO DE CRÉDITO NO BANCO DO POVO, ITABUNA/BAHIA: COMPORTAMENTOS DOS DETERMINANTES INTRÍNSECOS NO AUMENTO DE INADIMPLÊNCIA NA ATIVIDADE DO MICROCRÉDITO.</t>
  </si>
  <si>
    <t>2008-24</t>
  </si>
  <si>
    <t>QUALIFICAÇÃO DA MÃO-DE-OBRA E NÍVEL DE SATISFAÇÃO DO CLIENTE: O CASO DO JEQUITIBÁ PLAZA SHOPPING, ITABUNA-BAHIA</t>
  </si>
  <si>
    <t>2008-25</t>
  </si>
  <si>
    <t>UM ESTUDO SOBRE A IMPLEMENTAÇÃO DO MICROCRÉDITO NO BRASIL NO PERÍODO DE 1994 A 2006.</t>
  </si>
  <si>
    <t>2008-26</t>
  </si>
  <si>
    <t>ANÁLISE SOCIOECONÔMICA E AMBIENTAL DO FLUXO DE RESÍDUOS SÓLIDOS EM ITABUNA - BAHIA</t>
  </si>
  <si>
    <t>2008-27</t>
  </si>
  <si>
    <t>UMA ANÁLISE DA PARTICIPAÇÃO DAS ENERGIAS RENOVÁVEIS NA COMPOSIÇÃO DA MATRIZ ENERGÉTICA BRASILEIRA DE 1992 A 2006</t>
  </si>
  <si>
    <t>2008-28</t>
  </si>
  <si>
    <t>AS ESTRATÉGIAS DE MARKENTING DOS MEIOS DE HOSPEDAGEM DO MUNICÍPIO DE ILHÉUS-BAHIA EM 2007</t>
  </si>
  <si>
    <t>2008-29</t>
  </si>
  <si>
    <t>DIAGNÓSTICO DOS EMPREENDEDORES E DOS EMPREENDIMENTOS NAS PRAIAS DO MUNICÍPIO DE ILHÉUS-BA: comparativo das cabanas das prais do Sul e do Norte</t>
  </si>
  <si>
    <t>2008-30</t>
  </si>
  <si>
    <t>TURISMO RECEPTIVO INTERNACIONAL NO BRASIL: uma análise comparativa entre os anos de 2000 e 2005</t>
  </si>
  <si>
    <t>2008-31</t>
  </si>
  <si>
    <t xml:space="preserve">ANÁLISE DO PADRÃO DE VIDA DOS SERVIDORES DA ESFERA MUNICIPAL DO SETOR DE EDUCAÇÃO DE URUÇUCA-BAHIA </t>
  </si>
  <si>
    <t>2008-32</t>
  </si>
  <si>
    <t>A TERCERIZAÇÃO DA MÃO-DE-OBRA NAS EMPRESAS DE GRANDE PORTE EM ITABUNA: UMA RELAÇÃO ENTRE CAPITAL E TRABALHO</t>
  </si>
  <si>
    <t>2008-33</t>
  </si>
  <si>
    <t>AINFLUÊNCIA DO ENDIVIDAMENTO EXTERNO, SOBRE O "MILAGRE ECONÔMICO BRASILEIRO" NO PERÍODO DE 1968 A 1973</t>
  </si>
  <si>
    <t>2008-34</t>
  </si>
  <si>
    <t>INVESTIMENTO ESTATAL NA PROMOÇÃO DO DESENVOLVIMENTO ECONÔMICO: VISÕES KEYNESIANA E CEPALINA</t>
  </si>
  <si>
    <t>2008-35</t>
  </si>
  <si>
    <t>ANÁLISE DO VALOR REAL DO CUSTO DA ÁGUA TRATADA PRODUZIDA NO MUNICÍPIO DE URUÇUCA NO ANO DE 2007</t>
  </si>
  <si>
    <t>2008-36</t>
  </si>
  <si>
    <t>O PESO DOS ENCARGOS SOCIAIS NO MERCADO DE TRABALHO DO COMÉRCIO DE ITABUNA EM 2006: UMA ANÁLISE PELA INTERPRETAÇÃO DO DIEESE DO SETOR EMPRESARIAL</t>
  </si>
  <si>
    <t>2008-37</t>
  </si>
  <si>
    <t>A PERCEPÇÃO DAS EMPRESAS SOBRE GESTÃO AMBIENTAL, NO ESTADO DA BAHIA, EM 2004</t>
  </si>
  <si>
    <t>2008-38</t>
  </si>
  <si>
    <t>A PARCERIA AGRÍCOLA: UM ESTUDO DE CASO SOBRE ESTA RELAÇÃO CAPITAL-TRABALHO, NA FAZENDA VITÓRIA - COARACI (BAHIA)</t>
  </si>
  <si>
    <t>2008-39</t>
  </si>
  <si>
    <t>UMA ABORDAGEM DA IMPORTÂNCIA DE CACAU EM AMÊNDOAS VIA DRAWBACK</t>
  </si>
  <si>
    <t>2008-40</t>
  </si>
  <si>
    <t>ENFRENTAMENTO DO TRABALHO INFANTIL: ANÁLISE DO TRABALHO INFANTIL NA VILA OPERÁRIA DE BUERAREMA - BA</t>
  </si>
  <si>
    <t>2008-41</t>
  </si>
  <si>
    <t>ANÁLISE DA INTER-RELAÇÃO DOS MERCADOS DE AÇÚCAR E ÁLCOOL HIDRATADO COM O DE VEÍCULOS FLEX FUEL, 2003 A 2007</t>
  </si>
  <si>
    <r>
      <rPr>
        <rFont val="Arial"/>
        <color theme="1"/>
        <sz val="11.0"/>
      </rPr>
      <t xml:space="preserve">Sucroalcoleiro; tecnologia </t>
    </r>
    <r>
      <rPr>
        <rFont val="Arial"/>
        <i/>
        <color theme="1"/>
        <sz val="11.0"/>
      </rPr>
      <t>Flex Fuel</t>
    </r>
    <r>
      <rPr>
        <rFont val="Arial"/>
        <color theme="1"/>
        <sz val="11.0"/>
      </rPr>
      <t>; inter-relações; impacto.</t>
    </r>
  </si>
  <si>
    <t>2008-42</t>
  </si>
  <si>
    <t>ANÁLISE DOS DETERMINANTES DA DÍVIDA MOBILIÁRIA INTERNA NO PERÍODO 1999-2008</t>
  </si>
  <si>
    <t>2008-43</t>
  </si>
  <si>
    <t>A ECONOMIA INFORMAL EM ITABUNA: UMA ABORDAGEM SOBRE O TRABALHO  DOS FEIRANTES DO BAIRRO SÃO CAETANO.</t>
  </si>
  <si>
    <t>2008-44</t>
  </si>
  <si>
    <t xml:space="preserve">COMPETITIVIDADE DO SETOR PRODUTIVO DE BORRACHA NATURAL NA BAHIA </t>
  </si>
  <si>
    <t>2008-45</t>
  </si>
  <si>
    <t>PERFIL DOS PRODUTORES DE MANDIOCA E UNIDADES DE PRODUÇÃO BENEFICIADOS PELO PROGRAMA NACIONAL DE FORTALECIMENTO DA AGRICULTURA FAMILIAR (PRONAF) NO MUNICÍPIO DE BUERAREMA, BA</t>
  </si>
  <si>
    <t>2008-46</t>
  </si>
  <si>
    <t>O MICROCRÉDITO COMO PROGRAMA COMPLEMENTAR AO PROGRAMA BOLSA FAMÍLIA: A experiência microcreditícia do Banco do Povo de Itabuna, Bahia</t>
  </si>
  <si>
    <t>HEVEICULTURA NACIONAL: um estudo de mercado entre 1980 a 2007</t>
  </si>
  <si>
    <t>Emílio Sousa Cardoso</t>
  </si>
  <si>
    <t>Jonas Boamorte dos Santos</t>
  </si>
  <si>
    <t>apenas slides da defesa</t>
  </si>
  <si>
    <t>2009-01</t>
  </si>
  <si>
    <t>ANÁLISE DO COMPORTAMENTO DO CONSUMIDOR DE PRODUTOS DE HIGIENIZAÇÃO HOTELEIRA NOS MUNICÍPIOS DE ITABUNA E ILHÉUS - BAHIA</t>
  </si>
  <si>
    <t>2009-02</t>
  </si>
  <si>
    <t>INDICADORES DE DESENVOLVIMENTO RURAL DA REGIÃO SUDOESTE DA BAHIA</t>
  </si>
  <si>
    <t>2009-03</t>
  </si>
  <si>
    <t>UM ESTUDO DA ESTRUTURA DE MERCADO NA INDÚSTRIA DA AVIAÇÃO COMERCIAL, NO BRASIL, NO ANO DE 2007</t>
  </si>
  <si>
    <t>2009-04</t>
  </si>
  <si>
    <t>EVOLUÇÃO DO ÍNDICE DE DESENVOLVIMENTO HUMANO DO BRASIL (1990 – 2007)</t>
  </si>
  <si>
    <t>2009-05</t>
  </si>
  <si>
    <t>COMERCIALIZAÇÃO AGRÍCOLA DO DENDÊ NO MUNICÍPIO DE TAPEROÁ-BAHIA</t>
  </si>
  <si>
    <t>2009-06</t>
  </si>
  <si>
    <t>EMPREGO E DESEMPREGO NOS SETORES DE ATIVIDADE ECONÔMICA NO MUNICÍPIO DE TEIXEIRA DE FREITAS (BAHIA) NO PERÍODO DE 2004 A 2008</t>
  </si>
  <si>
    <t>2009-07</t>
  </si>
  <si>
    <t>ANÁLISE ECONÔMICA DA CAFEICULTURA EM SISTEMAS DE PARCERIA E ASSALARIAMENTO NO MUNICÍPIO DE CAMACAN, BAHIA.</t>
  </si>
  <si>
    <t>sem arquivo físico</t>
  </si>
  <si>
    <t>2009-08</t>
  </si>
  <si>
    <t>O TURISMO NO DISTRITO DE SERRA GRANDE NO MUNICÍPIO DE URUÇUCA (BAHIA) NA BAIXA ESTAÇÃO, EM 2009, NUMA PERSPECTIVA DO VISITANTE.</t>
  </si>
  <si>
    <t>2009-09</t>
  </si>
  <si>
    <t>DETERMINANTES DA OFERTA DE EXPORTAÇÃO DE PAPEL E CELULOSE NO BRASIL, 2002 - 2009</t>
  </si>
  <si>
    <t>2009-10</t>
  </si>
  <si>
    <t>INFORMAÇÕES ASSIMÉTRICAS: teorias e evidências sobre o seu impacto na economia atual</t>
  </si>
  <si>
    <t>2009-11</t>
  </si>
  <si>
    <t>A GESTÃO AMBIENTAL EMPRESARIAL, SEUS CUSTOS E BENEFÍCIOS: ESTUDO DE CASO DA EMPRESA BITWAY, DE 2006 A 2008.</t>
  </si>
  <si>
    <t>2009-12</t>
  </si>
  <si>
    <t>OS INVESTIMENTOS EM CONSTRUÇÃO CIVIL NO BRASIL E SUA RELAÇÃO COM O PRODUTO INTERNO BRUTO.</t>
  </si>
  <si>
    <t>2009-13</t>
  </si>
  <si>
    <t>O RECEPTIVO DE CRUZEIROS MARÍTIMOS E A SUA IMPORTÂNCIA ECONÔMICA PARA O MUNICÍPIO DE ILHÉUS-BAHIA.</t>
  </si>
  <si>
    <t>ANÁLISE DO MERCADO DE TRABALHO FORMAL NO MUNICÍPIO DE ITABUNA-BA NO PERÍODO DE 2003 A 2008.</t>
  </si>
  <si>
    <t xml:space="preserve">ANÁLISE DA SATISFAÇÃO DOS CLIENTES DA CESTA DO POVO EM COARACI - BAHIA. </t>
  </si>
  <si>
    <t>TURISMO DE CRUZEIROS EM ILHÉUS-BAHIA: análise exploratória das condições da oferta turística</t>
  </si>
  <si>
    <t>ANÁLISE DA SITUAÇÃO DE POBREZA NA REGIÃO LITORAL SUL DA BAHIA: tendo como referência o programa Bolsa Família no período de 2005 a 2008</t>
  </si>
  <si>
    <t>ANÁLISE ECONÔMICA DA CACAUICULTURA NO MUNICÍPIO DE URUÇUCA – BAHIA: UMA ANÁLISE COMPARATIVA ENTRE O CACAU COMUM E O CACAU CLONADO.</t>
  </si>
  <si>
    <t>UMA ANÁLISE SOBRE A POLÍTICA FISCAL NO BRASIL NO PERÍODO DE 1999 A 2008</t>
  </si>
  <si>
    <t>AVALIAÇÃO DO DESTINO ILHÉUS EM RELAÇÃO À SEGURANÇA PÚBLICA ENTRE OS ANOS 2005 A 2007</t>
  </si>
  <si>
    <t>GESTÃO AMBIENTAL: O CASO DA MICHELIN NA BAHIA.</t>
  </si>
  <si>
    <t>PERFIL SÓCIO-ECONÔMICO DOS TRABALHADORES INFORMAIS NAS PRAIAS NO MUNICÍPIO DE ITACARÉ-BAHIA, EM 2007</t>
  </si>
  <si>
    <t>MENSURAÇÃO DA RIQUEZA NACIONAL ATRAVÉS DO PRODUTO INTERNO BRUTO VERDE: uma análise brasileira</t>
  </si>
  <si>
    <t>POLÍTICA DE DESENVOLVIMENTO PROMOVIDA PELO BANCO DO NORDESTE: O CASO DO CREDIAMIGO NO MUNICÍPIO DE ITABUNA-BAHIA, NO PERÍODO DE 1999 A 2009</t>
  </si>
  <si>
    <t>TURISMO E DESENVOLVIMENTO SÓCIO-ECONÔMICO: UMA ANÁLISE DOS INVESTIMENTOS DO PRODETUR-BAHIA NOS MUNICÍPIOS DE ILHÉUS E ITACARÉ.</t>
  </si>
  <si>
    <t>IMPORTÂNCIA DAS RECEITAS ARRECADADAS DE IPTU E ISS NO FINANCIAMENTO DOS GASTOS DO PODER PÚBLICO MUNICIPAL DE ITABUNA – BAHIA COM A COMUNIDADE</t>
  </si>
  <si>
    <t>UM ESTUDO SOBRE PSICOLOGIA ECONÔMICA E FINANÇAS COMPORTAMENTAIS</t>
  </si>
  <si>
    <t>ANÁLISE DO COMPORTAMENTO DA RAÇÃO ESSENCIAL MÍNIMA, NAS CIDADES DE ITABUNA E SALVADOR, BAHIA</t>
  </si>
  <si>
    <t xml:space="preserve">O PAPEL DA EDUCAÇÃO E DO CAPITAL HUMANO: ESTUDO DO PERFIL SÓCIO-ECONÔMICO DOS DISCENTES DO CURSO DE ECONOMIA DA UESC EM 2007 </t>
  </si>
  <si>
    <t>CONDICIONANTES DA COMPETITIVIDADE DA PRODUÇÃO DE BORRACHA NATURAL NO EIXO IGRAPIÚNA-ITUBERÁ, BAHIA</t>
  </si>
  <si>
    <t>CARACTERIZAÇÃO SOCIOECONÔMICA DA ÁREA DE PROTEÇÃO AMBIENTAL DA LAGOA ENCANTADA, LOCALIZADA NO MUNICÍPIO DE ILHÉUS-BAHIA</t>
  </si>
  <si>
    <t>ANÁLISE SÓCIO-ECONÔMICA DOS BENEFICIÁRIOS DO MICROCRÉDITO NO MUNICÍPIO DE CAMACAN-BAHIA, EM 2008</t>
  </si>
  <si>
    <t>ANÁLISE DE CRÉDITO NO BANCO DO BRASIL: AVALIAÇÃO DOS RISCOS E RETORNO DOS CAPITAIS INVESTIDOS NAS MICRO E PEQUENAS EMPRESAS EM ITABUNA-BAHIA.</t>
  </si>
  <si>
    <t>ANÁLISE DA EVOLUÇÃO DOS INDICADORES SOCIOECONÔMICOS DA BAHIA NO PERÍODO DE 2000 A 2005</t>
  </si>
  <si>
    <t>ANÁLISE COMPARATIVA DO DESENVOLVIMENTO SOCIOECONÔMICO DO MUNICÍPIO DE ITAJUÍPE – BAHIA NO PERÍODO ENTRE 2000 E 2007</t>
  </si>
  <si>
    <t>FORMAÇÃO INDUSTRIAL BRASILEIRA: UMA ABORDAGEM ECONÔMICA DA INDÚSTRIA NASCENTE AO II PND</t>
  </si>
  <si>
    <t>ANÁLISE DO SANEAMENTO BÁSICO DO MUNICÍPIO DE ARATACA – BAHIA 2009</t>
  </si>
  <si>
    <t>PERFIL DA FAMÍLIA INTEGRANTE DO PROGRAMA BOLSA FAMÍLIA NO MUNICÍPIO DE ILHÉUS-BA, EM 2008</t>
  </si>
  <si>
    <t>PERFIL SÓCIO-ECONÔMICO DO TRABALHADOR INFORMAL LIGADO À ATIVIDADE DE MOTO-TÁXI NO BAIRRO SÃO CAETANO, ITABUNA-BAHIA</t>
  </si>
  <si>
    <t>VALORAÇÃO ECONÔMICA DO TURISMO NAS PRAIAS DOS MUNICÍPIOS DE ILHÉUS E ITACARÉ, LOCALIZADOS NO ESTADO DA BAHIA: UMA ANÁLISE COMPARATIVA DA ALTA E BAIXA ESTAÇÃO DO ANO 2008</t>
  </si>
  <si>
    <t>O TURISMO RECEPTIVO DE ILHÉUS E ITACARÉ (ESTADO DA BAHIA): UMA ANÁLISE COMPARATIVA EM CADA ESTAÇÃO DO ANO DE 2007</t>
  </si>
  <si>
    <t>ANÁLISE DO PRODUTO INTERNO BRUTO DO MUNICÍPIO DE ITABUNA – BAHIA ENTRE OS ANOS DE 2002 A 2006</t>
  </si>
  <si>
    <t>A EVOLUÇÃO DO DÉFICIT NA PREVIDÊNCIA PÚBLICA BRASILEIRA NO PERÍODO DE 1995 – 2006</t>
  </si>
  <si>
    <t>ESTRUTURA-CONDUTA-DESEMPENHO NO SETOR AUTOMOBILÍSTICO BRASILEIRO: UMA ANÁLISE DA PRODUÇÃO DOS AUTOMÓVEIS (2000 – 2008).</t>
  </si>
  <si>
    <t>ANÁLISE DA INFLUÊNCIA DA TAXA DE JUROS (SELIC) SOBRE O CRESCIMENTO ECONÔMICO BRASILEIRO NO PERÍODO DE 1999 A 2006.</t>
  </si>
  <si>
    <t>OFERTA TURÍSTICA DO MUNICÍPIO DE ITACARÉ (BA): UMA ANÁLISE MULTIVARIADA DOS ANOS 2006 E 2007</t>
  </si>
  <si>
    <t>COMPARATIVO DOS INDICADORES SOCIOECONÔMICOS DOS MUNICÍPIOS DE ILHÉUS E ITABUNA (BAHIA) NO PERÍODO DE 1990 A 2008, UTILIZANDO A ÓTICA DE AMARTYA SEN.</t>
  </si>
  <si>
    <t>NATUREZA DA CRISE ECONÔMICA NOS ESTADOS UNIDOS E SEUS IMPACTOS NA ECONOMIA BRASILEIRA, NO PERÍODO DE 2007 A 2009</t>
  </si>
  <si>
    <t>ESTUDO DA EVOLUÇÃO DA ECONOMIA BAIANA ATRAVÉS DA ANÁLISE DE ALGUNS INDICADORES ECONÔMICOS, NO PERÍODO DE 1997 A 2006</t>
  </si>
  <si>
    <t>GESTÃO AMBIENTAL E RESPONSABILIDADE SOCIAL EMPRESARIAL: UM PERFIL DAS AÇÕES DAS DEZ MAIORES EMPRESAS DO BRASIL</t>
  </si>
  <si>
    <t>TEORIA DO CAPITAL HUMANO: ANÁLISA DA INFLUÊNCIA DA ESCOLARIDADE NA EMPREGABILIDADE E RENDA DOS OCUPADOS NO BRASIL DE 1996 A 2006</t>
  </si>
  <si>
    <t>Teoria do capital humano, Brasil, empregabilidade, renda, escolaridade, ocupados.</t>
  </si>
  <si>
    <t>Elcio Rodrigues de Sousa Júnior</t>
  </si>
  <si>
    <t>cd não encontrado, sem pdf</t>
  </si>
  <si>
    <t>ANÁLISE SÓCIO-ECONÔMICA DOS COMERCIANTES DO MERCADO DE ARTESANATO DE ILHÉUS-BAHIA</t>
  </si>
  <si>
    <t>Bianca de Sousa Galvão</t>
  </si>
  <si>
    <t>O TURISMO DO ESTADO DA BAHIA: UMA ANÁLISE DOS INDICADORES MACROECONÔMICOS NO PERÍODO DE 1998 A 2008.</t>
  </si>
  <si>
    <t>O IMPACTO DA VERACEL NOS MUNICÍPIOS DA SUA ÁREA DE ATUAÇÃO: AVALIAÇÃO DO MODELO DE DESENVOLVIMENTO COM BASE NUMA ÚNICA EMPRESA</t>
  </si>
  <si>
    <t>EMPREENDEDORISMO: ANÁLISE DA EDUCAÇÃO E INICIATIVA EMPREENDEDORA DOS JOVENS DO ENSINO MÉDIO DO MUNICÍPIO DE ITABUNA- BAHIA.</t>
  </si>
  <si>
    <t>PLANEJAMENTO ESTRATÉGICO DO TURISMO DE ILHÉUS (2001): UMA ANÁLISE PELA ÓTICA DO PODER PÚBLICO E DOS AGENTES DO TURISMO</t>
  </si>
  <si>
    <t>ANÁLISE DA CAPACIDADE FINANCEIRA E ECONÔMICA DA COOPERATIVA DE ECONOMIA E CRÉDITO MÚTUO DOS FUNCIONÁRIOS DA CEPLAC (COOPEC), LOCALIZADA NA REGIÃO SUL DA BAHIA NO PERÍODO DE 2004 A 2009.</t>
  </si>
  <si>
    <t>ANÁLISE DA QUALIDADE DE VIDA DOS BENEFICIÁRIOS DO PROGRAMA BOLSA FAMÍLIA NO MUNICÍPIO DE GANDU, BAHIA</t>
  </si>
  <si>
    <t>CERTIFICAÇÃO ISO 14001: UMA ADEQUAÇÃO DAS EMPRESAS BRASILEIRAS ÀS NORMAS AMBIENTAIS DE COMPETITIVIDADE INTERNACIONAL.</t>
  </si>
  <si>
    <t>OS EMPREENDIMENTOS INFORMAIS E A MULHER: UM RECORTE DAS CLIENTES DO BANCO DO POVO NO MUNICÍPIO DE ITABUNA - BAHIA</t>
  </si>
  <si>
    <t>ANÁLISE DO MERCADO DE COSMÉTICOS ÉTNICOS NO COMÉRCIO DE ITABUNA-BAHIA, 2009</t>
  </si>
  <si>
    <t>COMPORTAMENTO DOS PREÇOS DAS PRINCIPAIS OLEAGINOSAS CULTIVADAS NO ESTADO DA BAHIA PARA PRODUÇÃO DE BIODIESEL</t>
  </si>
  <si>
    <t>ANÁLISE DO DESEMPENHO E DA EFICIÊNCIA DO ÓLEO DE DENDÊ BRASILEIRO NO MERCADO INTERNACIONAL</t>
  </si>
  <si>
    <t>ANÁLISE DA INTERDEPENDÊNCIA ENTRE OS PREÇOS DA CESTA BÁSICA DAS CAPITAIS DO NORDESTE</t>
  </si>
  <si>
    <t>ANÁLISE DOS FATORES DETERMINANTES DA PRODUÇÃO BRASILEIRA DE CANA-DE-AÇÚCAR NO PERÍODO DE 1990 A 2008</t>
  </si>
  <si>
    <t>CREDIBILIDADE DA POLÍTICA MONETÁRIA BRASILEIRA: UMA ANÁLISE SOBRE O REGIME DE METAS DE INFLAÇÃO NO PERÍODO ENTRE 2000 E 2010.</t>
  </si>
  <si>
    <t>ANÁLISE DA PRODUÇÃO DE MANGA E OS FATORES RESPONSÁVEIS POR SUA VARIAÇÃO NO ESTADO DA BAHIA ENTRE 1990 E 2006</t>
  </si>
  <si>
    <r>
      <rPr>
        <rFont val="Arial"/>
        <color theme="1"/>
        <sz val="11.0"/>
      </rPr>
      <t xml:space="preserve">Valor da Produção, Manga, Modelo </t>
    </r>
    <r>
      <rPr>
        <rFont val="Arial"/>
        <i/>
        <color theme="1"/>
        <sz val="11.0"/>
      </rPr>
      <t>Shift-Share</t>
    </r>
    <r>
      <rPr>
        <rFont val="Arial"/>
        <color theme="1"/>
        <sz val="11.0"/>
      </rPr>
      <t>.</t>
    </r>
  </si>
  <si>
    <t>GASTOS COM A RAÇÃO ESSENCIAL MÍNIMA (CESTA BÁSICA) E RESTRIÇÃO ORÇAMENTÁRIA DOS CONSUMIDORES DA REGIÃO NORDESTE NO PERÍODO DE 2004 A 2009</t>
  </si>
  <si>
    <t>EVOLUÇÃO E DINÂMICA DO MERCADO DE TRABALHO NO MUNICÍPIO DE ITABUNA (BAHIA) POR SETORES DE ATIVIDADES NO PERÍODO DE 2003 A 2009</t>
  </si>
  <si>
    <t>A MORTALIDADE DAS MICROEMPRESAS E EMPRESAS DE PEQUENO PORTE - MPE’S NO BRASIL, PERÍODO DE 2000 A 2005</t>
  </si>
  <si>
    <t>A QUESTÃO DA AUTONOMIA DO BANCO CENTRAL: UMA REDISCUSSÃO BASEADA NAS TEORIAS ECONÔMICAS</t>
  </si>
  <si>
    <t>INFLUÊNCIA DO PROGRAMA TARIFA SOCIAL SOBRE A POBREZA: UMA ANÁLISE DAS FAMÍLIAS BENEFICIADAS DO MUNICÍPIO DE BUERAREMA- BAHIA</t>
  </si>
  <si>
    <t>A ANÁLISE DA EXECUÇÃO ORÇAMENTÁRIA DA SEGURIDADE SOCIAL NO BRASIL NO PERÍODO DE 2003 A 2009</t>
  </si>
  <si>
    <t>ANÁLISE DA DINÂMICA COMERCIAL DO BAIRRO SÃO CAETANO NA CIDADE DE ITABUNA-BA, NO ANO DE 2009</t>
  </si>
  <si>
    <t>POLÍTICA MONETÁRIA DO BRASIL FRENTE À CRISE GLOBAL DE 2008</t>
  </si>
  <si>
    <t>UMA INVESTIGAÇÃO DO NÍVEL DE SATISFAÇÃO DO CONSUMIDOR NO SETOR DE FAST FOOD: O CASO DO MCDONALD’S EM ITABUNA – BA</t>
  </si>
  <si>
    <t>CRESCIMENTO, AUGE E INFLEXÃO DO PROCESSO DE INDUSTRIALIZAÇÃO NO PAÍS: DOS ANOS DE 1930 À “DÉCADA PERDIDA”</t>
  </si>
  <si>
    <t>CARACTERIZAÇÃO ECONÔMICA E SOCIAL DA MULHER INSERIDA NA GRADUAÇÃO DA UNIVERSIDADE ESTADUAL DE SANTA CRUZ (UESC), MUNICÍPIO DE ILHÉUS – BAHIA</t>
  </si>
  <si>
    <t>RACIONALIDADE DO CONSUMIDOR: UMA ANÁLISE DO CONSUMO DOS PRODUTOS QUE COMPÕEM A RAÇÃO ESSENCIAL MÍNIMA NA REDE DE SUPERMERCADO DE ILHÉUS, BAHIA</t>
  </si>
  <si>
    <t>ANÁLISE DO COMPORTAMENTO DOS CONSUMIDORES EM RELAÇÃO AOS SERVIÇOS DO HIPERMERCADO BOMPREÇO NO MUNICÍPIO DE ITABUNA – BAHIA</t>
  </si>
  <si>
    <t>DETERMINANTES DOS SALÁRIOS REAIS NA INDÚSTRIA DE TRANSFORMAÇÃO DA BAHIA NO PERÍODO DE 2001-2008: TEORIA E EVIDÊNCIAS</t>
  </si>
  <si>
    <t>FONTES DE CRESCIMENTO DA BORRACHA NATURAL NOS PÓLOS PRODUTORES DA BAHIA, UMA ANÁLISE DE 1990-2008</t>
  </si>
  <si>
    <t>ESTUDO ECONÔMICO DA CARCINICULTURA NO MUNICÍPIO DE CANAVIEIRAS, BAHIA</t>
  </si>
  <si>
    <t>ANÁLISE DO PERFIL DOS FUNCIONÁRIOS DO BRADESCO, AGÊNCIA ILHÉUS, EM FACE DA REESTRUTURAÇÃO PRODUTIVA NO SETOR BANCÁRIO</t>
  </si>
  <si>
    <t>BALANÇA COMERCIAL BRASILEIRA: UMA ANÁLISE DO SEU COMPORTAMENTO NO PERÍODO DE 2003 A 2008</t>
  </si>
  <si>
    <t>CARACTERIZAÇÃO DA INADIMPLÊNCIA NO SEGMENTO DE PLANO FUNERÁRIO NA CIDADE DE ITABUNA – BAHIA: ESTUDO DE CASO DA EMPRESA ADMINISTRADORA DE PLANO FAMILIAR - SAF.</t>
  </si>
  <si>
    <t>ANÁLISE DA PARTICIPAÇÃO FEMININA NO MERCADO DE TRABALHO NO ESTADO DA BAHIA NO PERÍODO DE 2001 A 2007</t>
  </si>
  <si>
    <t>A ESCOLHA PÚBLICA: ANÁLISE DOS MECANISMOS DA AÇÃO ESTATAL NO CENTRO DA CIDADE DE ITABUNA-BAHIA PARA O COMÉRCIO INFORMAL</t>
  </si>
  <si>
    <t>ESTRUTURA DE CONSUMO FAMILIAR DO BAIRRO SANTA HELENA, MUNICÍPIO DE BUERAREMA (BAHIA)</t>
  </si>
  <si>
    <t>RESPONSABILIDADE SOCIAL NAS EMPRESAS: O FOCO NOS CONDICIONANTES ECONÔMICOS</t>
  </si>
  <si>
    <t>ANÁLISE SOCIOECONÔMICA DA MÃO-DE-OBRA NOS SERVIÇOS TURÍSTICOS DE ALOJAMENTO, ALIMENTAÇÃO E BEBIDAS DO DISTRITO SERRA GRANDE NO MUNICÍPIO DE URUÇUCA - BAHIA EM 2009</t>
  </si>
  <si>
    <t>2010-40</t>
  </si>
  <si>
    <t>O SETOR IMOBILIÁRIO DO MUNICÍPIO DE ITABUNA (BAHIA) NO PRIMEIRO SEMESTRE DE 2010: uma análise da participação dos estudantes das instituições de Ensino Superior na demanda local</t>
  </si>
  <si>
    <t>Ana Caroline Santos Alencar</t>
  </si>
  <si>
    <t>sem elementos pré-textuais</t>
  </si>
  <si>
    <t>2010-41</t>
  </si>
  <si>
    <t xml:space="preserve">CONTABILIDADE AMBIENTAL NO SISTEMA DE GESTÃO AMBIENTAL DAS ORGANIZAÇÕES: uma revisão bibliográfica </t>
  </si>
  <si>
    <t>Shelley Gonzaga Ribeiro de Sousa</t>
  </si>
  <si>
    <t>somente arquivo de apresentação em PPT</t>
  </si>
  <si>
    <t>POLÍTICA SOCIAL COMPENSATÓRIA OU EMANCIPATÓRIA: ANÁLISE DA CONTRIBUIÇÃO DOS PROGRAMAS SOCIAIS PARA A AUTONOMIA DOS BENEFICIÁRIOS.</t>
  </si>
  <si>
    <t>VIABILIDADE ECONÔMICA E FINANCEIRA DA IMPLANTAÇÃO DE UM LATICÍNIO EM COARACI, BAHIA.</t>
  </si>
  <si>
    <t>REGIMES CAMBIAIS E SUAS IMPLICAÇÕES SOBRE A BALANÇA COMERCIAL BRASILEIRA NO PERÍODO DE 1994 A 2008</t>
  </si>
  <si>
    <t>INDICADORES MACROECONÔMICOS DO TURISMO DOS PRINCIPAIS DESTINOS LITORÂNEOS DA BAHIA, NO PERÍODO DE 1998 ATÉ 2008.</t>
  </si>
  <si>
    <t>OS FATORES DETERMINANTES DA OFERTA TURÍSTICA DO MUNICÍPIO DE ILHÉUS (BAHIA) SOB A PERSPECTIVA DOS RESIDENTES, EM 2010.</t>
  </si>
  <si>
    <t>2011-06</t>
  </si>
  <si>
    <t>UM PANORAMA DA POLÍTICA FISCAL NO BRASIL NOS ÚLTIMOS 20 ANOS</t>
  </si>
  <si>
    <t>ESTUDO DO MERCADO DE ACARAJÉ NO MUNICÍPIO DE ITABUNA-BAHIA</t>
  </si>
  <si>
    <t>MEDIDAS ANTICÍCLICAS ADOTADAS PELO GOVERNO BRASILEIRO NA CRISE FINANCEIRA DE 2008</t>
  </si>
  <si>
    <t>ANÁLISE DOS PRINCIPAIS ASPECTOS DO CONSUMO DE ÁGUA NO MUNICÍPIO DE COARACI – BAHIA, EM 2010.</t>
  </si>
  <si>
    <t>2011-10</t>
  </si>
  <si>
    <t>ANÁLISE DA PARTICIPAÇÃO DO SETOR DE SERVIÇOS NA DINAMICA ECONÔMICA DO MUNICÍPIO DE ILHÉUS NOS ANOS DE 2000 A 2008.</t>
  </si>
  <si>
    <t>A RELEVÂNCIA ECONÔMICA DOS BENEFÍCIOS PREVIDENCIÁRIOS PAGOS NO MUNICÍPIO DE ITAJUÍPE- BAHIA EM COMPARAÇÃO COM O FUNDO DE PARTICIPAÇÃO DOS MUNICÍPIOS, 2000 A 2006</t>
  </si>
  <si>
    <t>ECONOMIA SOLIDÁRIA E DESENVOLVIMENTO LOCAL: UMA REFLEXÃO A PARTIR DAS AÇÕES DA INCUBADORA BAIANA DE EMPREENDIMENTOS ECONÔMICOS SOLIDÁRIOS – IBEES, ENTRE 2009 E 2010.</t>
  </si>
  <si>
    <t>AS INFLUÊNCIAS DA POLÍTICA FISCAL BRASILEIRA NO SETOR INDUSTRIAL DA BAHIA, NOS ANOS DE 2003 A 2010.</t>
  </si>
  <si>
    <t>AÇÕES AFIRMATIVAS E O VESTIBULAR DA UESC</t>
  </si>
  <si>
    <t>COMPRAS GOVERNAMENTAIS DA UESC NO MUNICÍPIO DE ITABUNA – BAHIA NO PERÍODO DE 2000-2007: UMA ANÁLISE DOS EFEITOS NO COMÉRCIO LOCAL E NO MUNICÍPIO</t>
  </si>
  <si>
    <t>A DOUTRINA SOCIAL CATÓLICA E SUA SIMILARIDADE COM OS PRINCÍPIOS DA ECONOMIA SOLIDÁRIA.</t>
  </si>
  <si>
    <t>O SISTEMA DE METAS PARA INFLAÇÃO NO BRASIL: UM ENFOQUE NO COMPROMISSO COM A ESTABILIDADE DE PREÇOS NO PERÍODO DE 1999 A 2009</t>
  </si>
  <si>
    <t>CICLO DE NEGÓCIOS: UMA INVESTIGAÇÃO SOBRE A EXISTÊNCIA DE CICLO COMUM</t>
  </si>
  <si>
    <t>COMPETITIVIDADE DO ÓLEO DE MAMONA BRASILEIRO: UMA ANÁLISE A PARTIR DE INDICADORES DE DESEMPENHO E EFICIÊNCIA</t>
  </si>
  <si>
    <t>FORMAÇÃO DOS PREÇOS DE VENDA SOB O ASPECTO TRIBUTÁRIO: ANÁLISE DE UMA EMPRESA DO COMÉRCIO VAREJISTA DE MATERIAL ELÉTRICO.</t>
  </si>
  <si>
    <t>UM ESTUDO DA INFLUÊNCIA DA TAXA DE CÂMBIO SOBRE O DESEMPENHO DAS EXPORTAÇÕES BRASILEIRAS DURANTE O GOVERNO FHC</t>
  </si>
  <si>
    <t>2011-22</t>
  </si>
  <si>
    <t>A EDUCAÇÃO PÚBLICA NA REDE MUNICIPAL DA CIDADE DE ITABUNA- BA: desempenhos das escolas e os aspectos sócio-econômicos</t>
  </si>
  <si>
    <t>BREVES CONCEPÇÕES SOBRE O IMPERIALISMO E A NOVA ORDEM MUNDIAL: UMA VISÃO CRÍTICA A PARTIR DE ROSA LUXEMBRUGO</t>
  </si>
  <si>
    <t>2011-30</t>
  </si>
  <si>
    <t>A CENTRALIDADE DO COMÉRCIO INFORMAL (FEIRAS LIVRES) NO MUNICÍPIO DE ILHÉUS - BAHIA</t>
  </si>
  <si>
    <t>A POLÍTICA FISCAL NOS DOIS GOVERNOS LULA.</t>
  </si>
  <si>
    <t>COMPORTAMENTO DOS USUÁRIOS DOS SERVIÇOS DE SAÚDE PÚBLICA DA ATENÇÃO BÁSICA NO POSTO SANTO ANTÔNIO NA CIDADE DE ITAJUÍPE/BA, EM 2011.</t>
  </si>
  <si>
    <t>PERCEPÇÃO DOS CLIENTES QUANTO À QUALIDADE DOS SERVIÇOS PRESTADOS NA AGÊNCIA DOS CORREIOS DO MUNICÍPIO DE COARACI-BAHIA</t>
  </si>
  <si>
    <t>ANÁLISE DE CUSTOS MÉDIOS DE PRODUÇÃO DE BOVINOS DE CORTE EM FASE DE ENGORDA NA FAZENDA BELO MONTE NO MUNICÍPIO DE ITAJÚ DO COLÔNIA, BAHIA</t>
  </si>
  <si>
    <t>A PROBLEMÁTICA AMBIENTAL NO ESTADO DA BAHIA: UMA EXPOSIÇÃO DE INFORMAÇÕES ENTRE 2000 E 2009.</t>
  </si>
  <si>
    <t>AVALIAÇÃO ECONÔMICA – FINANCEIRA DA TILAPICULTURA EM TANQUES–REDE NO MUNICÍPIO DE PAULO AFONSO (BAHIA)</t>
  </si>
  <si>
    <t>O MERCADO DE AUTOPEÇAS NA CIDADE DE ILHÉUS: ESTUDO DE VIABILIDADE ECONÔMICO-FINANCEIRA PARA INVESTIMENTO NO SETOR</t>
  </si>
  <si>
    <t>E-COMMERCE NO BRASIL: UMA ANÁLISE DO PERÍODO DE 2001 A 2010</t>
  </si>
  <si>
    <r>
      <rPr>
        <rFont val="Arial"/>
        <color theme="1"/>
        <sz val="11.0"/>
      </rPr>
      <t xml:space="preserve">Comércio Eletrônico. Varejo. Teoria do Consumidor. Webshoppers. Pesquisa Anual do Comércio. </t>
    </r>
    <r>
      <rPr>
        <rFont val="Arial"/>
        <i/>
        <color theme="1"/>
        <sz val="11.0"/>
      </rPr>
      <t>E-commerce.</t>
    </r>
  </si>
  <si>
    <t>PRODUÇÃO CIENTÍFICA EM CIÊNCIAS ECONÔMICAS: UMA ANÁLISE DE MONOGRAFIAS DE GRADUAÇÃO EM ECONOMIA DA UNIVERSIDADE ESTADUAL DE SANTA CRUZ, ILHÉUS-BAHIA, NO PERÍODO DE 2005 A 2011</t>
  </si>
  <si>
    <t>A COMPETITIVIDADE NO SETOR DE COMERCIALIZAÇÃO DE MATERIAIS DE CONSTRUÇÃO EM ITABUNA - BAHIA</t>
  </si>
  <si>
    <t>PRODUTO INTERNO BRUTO (PIB) E BALANÇA COMERCIAL DO SEGMENTO DE CELULOSE E PAPEL BRASILEIRO, NO PERÍODO DE 1994 A 2010</t>
  </si>
  <si>
    <t>UM ESTUDO SOBRE A CRISE DO CACAU NA REGIÃO CACAUEIRA NOS TEMPOS ATUAIS (2000 – 2010)</t>
  </si>
  <si>
    <t>CONDUÇÃO DA POLÍTICA DE METAS DE INFLAÇÃO DURANTE O GOVERNO LULA</t>
  </si>
  <si>
    <t>AS RELAÇÕES ECONÔMICAS ENTRE OS PAÍSES BRICS: UM ENFOQUE NO BALANÇO DE PAGAMENTOS DO BRASIL DE 2001 A 2011</t>
  </si>
  <si>
    <t>PREVISÃO DO PREÇO DA COMMODITY CACAU NO MERCADO DE ILHÉUS: UMA ABORDAGEM DO MODELO ARIMA</t>
  </si>
  <si>
    <t>ANÁLISE DO PERFIL SOCIOECONÔMICO DOS MEMBROS DA ASSOCIAÇÃO DE COSTUREIRAS DE BUERAREMA-BAHIA</t>
  </si>
  <si>
    <r>
      <rPr>
        <rFont val="Arial"/>
        <color theme="1"/>
        <sz val="11.0"/>
      </rPr>
      <t>Luíza Reis Teixeira</t>
    </r>
    <r>
      <rPr>
        <rFont val="Arial"/>
        <color rgb="FF000000"/>
        <sz val="11.0"/>
      </rPr>
      <t xml:space="preserve"> </t>
    </r>
  </si>
  <si>
    <t>ANÁLISE SOBRE AS CONDIÇÕES DE VIDA DAS FAMÍLIAS ASSENTADAS NO BUÍQUE EM BUERAREMA-BAHIA</t>
  </si>
  <si>
    <t>A INDÚSTRIA AUDIOVISUAL: UMA ANÁLISE EMPÍRICA DO SEGMENTO DE EXIBIÇÃO CINEMATOGRÁFICA BAIANO</t>
  </si>
  <si>
    <t>OS EFEITOS DE VARIÁVEIS MACROECONÔMICAS SOBRE A POUPANÇA NACIONAL BRUTA DO BRASIL NO PERÍODO DE 2003 A 2012.</t>
  </si>
  <si>
    <t>ANÁLISE DAS AÇÕES DA INCUBADORA BAIANA DE EMPREENDIMENTOS ECONÔMICOS SOLIDÁRIOS DA UNIVERSIDADE ESTADUAL DE SANTA CRUZ</t>
  </si>
  <si>
    <t>ANÁLISE DO DESENVOLVIMENTO RURAL NO TERRITÓRIO DE IDENTIDADE EXTREMO SUL DA BAHIA</t>
  </si>
  <si>
    <t>GÊNERO E MICROCRÉDITO NO MERCADO DE TRABALHO AUTÔNOMO NO MUNICÍPIO DE ITABUNA - BAHIA</t>
  </si>
  <si>
    <t>O SELO DE CERTIFICAÇÃO AGRÍCOLA COMO ALTERNATIVA PARA O AUMENTO DA LUCRATIVIDADE NA COMERCIALIZAÇÃO DE AMÊNDOA DE CACAU NA REGIÃO SUL DA BAHIA.</t>
  </si>
  <si>
    <t>IMPACTOS DA REDUÇÃO DO IMPOSTO SOBRE PRODUTOS INDUSTRIALIZADOS (IPI) NA VENDA E NA PRODUÇÃO DE AUTOMÓVEIS NOVOS NO BRASIL, DE 2006 A 2010</t>
  </si>
  <si>
    <t>ANÁLISE DOS PREÇOS PRATICADOS PELOS SUPERMERCADOS DOS MUNICÍPIOS DE ITABUNA E ILHÉUS (BAHIA)</t>
  </si>
  <si>
    <t>O DESEMPENHO ACADÊMICO DOS ALUNOS INGRESSANTES NO PRIMEIRO VESTIBULAR DA UESC COM RESERVA DE VAGAS</t>
  </si>
  <si>
    <t>ANÁLISE DO TURISMO RURAL NA FAZENDA SÃO FRANCISCO MUNICÍPIO DE URUÇUCA, DISTRITO DE SERRA GRANDE - BAHIA</t>
  </si>
  <si>
    <t>A INFLUÊNCIA DA ECONOMIA COMPORTAMENTAL NA ESCOLHA DO CONSUMIDOR: O CASO DA CHEVROLET NO MUNICÍPIO DE ITABUNA</t>
  </si>
  <si>
    <t>INSERÇÃO DAS UNIVERSITÁRIAS NO MERCADO DE TRABALHO: UMA ANÁLISE SOBRE AS DISCENTES DOS CURSOS DE NEGÓCIOS DA UNIVERSIDADE ESTADUAL DE SANTA CRUZ, NO MUNICÍPIO DE ILHÉUS - BAHIA</t>
  </si>
  <si>
    <t>OS EFEITOS DA INFLAÇÃO, TAXA DE JUROS E RENDA SOBRE O CONSUMO DAS FAMÍLIAS BRASILEIRAS NO PERÍODO DE 1999 A 2009</t>
  </si>
  <si>
    <t>DESENVOLVIMENTO ECONÔMICO SOB A ÓTICA DE AMARTYA SEN: UM ESTUDO DA REGIÃO NORDESTE COMPREENDIDO ENTRE O PERÍODO DE 2000 A 2010</t>
  </si>
  <si>
    <t>O AGROAMIGO E A INOVAÇÃO NA CONCESSÃO DE CRÉDITO NA ÁREA DE ATUAÇÃO DO BANCO DO NORDESTE DO BRASIL: CRIAÇÃO, EXPECTATIVAS E RESULTADOS</t>
  </si>
  <si>
    <t>PERFIL DO EMPREGO FORMAL NAS MICRO E PEQUENAS EMPRESAS DO SETOR DE COMÉRCIO VAREJISTA NO MUNICÍPIO DE ITABUNA, NO PERÍODO DE 2002 A 2011.</t>
  </si>
  <si>
    <t>RELEVÂNCIA ECONÔMICA DA PARTICIPAÇÃO DOS APOSENTADOS E PENSIONISTAS DO INSTITUTO NACIONAL DA SEGURIDADE SOCIAL (INSS), EM ITABUNA (BAHIA), DE 2005 A 2010.</t>
  </si>
  <si>
    <t>POLÍTICAS PÚBLICAS EM HABITAÇÃO E O ENFRENTAMENTO DO DÉFICIT HABITACIONAL: UMA ANÁLISE DO PROGRAMA MINHA CASA MINHA VIDA NOS MUNICÍPIOS DE ILHÉUS E ITABUNA, BAHIA</t>
  </si>
  <si>
    <t>O PERFIL SOCIOECONÔMICO DO MOTOTAXISTA NA CIDADE DE ITABUNA, BAHIA</t>
  </si>
  <si>
    <t>CONSUMO SUSTENTÁVEL: ESTUDO DO COMPORTAMENTO DOS ESTUDANTES DE GRADUAÇÃO DA UNIVERSIDADE ESTADUAL DE SANTA CRUZ, NO MUNICÍPIO DE ILHÉUS - BAHIA</t>
  </si>
  <si>
    <t>EFEITOS DA DESONERAÇÃO DO ICMS SOBRE OS ITENS DA CESTA BÁSICA NAS CIDADES DE ILHÉUS E ITABUNA, BAHIA, E SUA INFLUÊNCIA NA RENDA DO TRABALHADOR ASSALARIADO</t>
  </si>
  <si>
    <t>O SIMPLES NACIONAL COMO FATOR DE RECUPERAÇÃO FISCAL NO MUNICÍPIO DE COARACI (BAHIA) EM RELAÇÃO À TAXA DE FISCALIZAÇÃO DO FUNCIONAMENTO NOS PERÍODOS DE 2005 A 2011.</t>
  </si>
  <si>
    <t>AS PRINCIPAIS CRISES ECONÔMICAS DOS SÉCULOS XX E XXI À LUZ DA TEORIA AUSTRÍACA DOS CICLOS ECONÔMICOS</t>
  </si>
  <si>
    <t>A ATUAÇÃO DA PEQUENA EMPRESA ASSISTIDA PELO SEBRAE – O CASO DA COMERCIALIZAÇÃO DO VESTUÁRIO NO BAIRRO SÃO CAETANO DA CIDADE DE ITABUNA- BAHIA</t>
  </si>
  <si>
    <t>AS INOVAÇÕES TECNOLÓGICAS E O MEIO AMBIENTE: APLICAÇÕES NA INDÚSTRIA AUTOMOBILÍSTICA</t>
  </si>
  <si>
    <t>CAPITAL SOCIAL E AS RELAÇÕES SOCIAIS MODERNAS</t>
  </si>
  <si>
    <t>PANORAMA DO COMPORTAMENTO DA POLÍTICA FISCAL NO BRASIL NO PERÍODO COMPREENDIDO ENTRE 2003 A 2010</t>
  </si>
  <si>
    <t>ESTRATÉGIAS COMPETITIVAS E INOVAÇÕES: DISCUSSÃO TEÓRICA DESTAS FERRAMENTAS SOB A VISÃO DE PORTER E SCHUMPETER</t>
  </si>
  <si>
    <t>O PROGRAMA DE AQUISIÇÃO DE ALIMENTOS DA AGRICULTURA FAMILIAR (PAA): O CASO DOS PRODUTORES DE IBICARAÍ (BAHIA)</t>
  </si>
  <si>
    <t>O EFEITO DA VIOLÊNCIA NO CRESCIMENTO ECONÔMICO DOS ESTABELECIMENTOS COMERCIAIS DA RUA MARQUÊS DE PARANAGUÁ NO MUNICÍPIO DE ILHÉUS - BAHIA</t>
  </si>
  <si>
    <t>EXPANSÃO DO CRÉDITO NO BRASIL ENTRE 2000 E 2011: DETERMINANTES E EFEITOS SOBRE A DEMANDA INTERNA</t>
  </si>
  <si>
    <t>AS METAMORFOSES DO TRABALHO NA GÊNESE DO CAPITALISMO - UMA ABORDAGEM HISTÓRICO-DIALÉTICA</t>
  </si>
  <si>
    <t>2012-51</t>
  </si>
  <si>
    <t>A VARIAÇÃO DOS PREÇOS DA RAÇÃO PARA CÃES ENTRE OS ANOS DE 2008-2010 E O GRAU DE SATISFAÇÃO E FIDELIDADE DO COMPRADOR NO MUNICÍPIO DE ITABUNA - BAHIA</t>
  </si>
  <si>
    <t>2012-53</t>
  </si>
  <si>
    <t>FATORES SOCIOECONÔMICOS E O PROCESSO DE ESCOLHA DOS CURSOS DE GRADUAÇÃO DA UESC: UMA ANÁLISE APÓS O SISTEMA DE RESERVA DE VAGAS</t>
  </si>
  <si>
    <t>2012-54</t>
  </si>
  <si>
    <t>DETERMINANTES PARA O SUCESSO NO DESEMPENHO ACADÊMICO DOS ALUNOS DO CURSO DE CIÊNCIAS ECONÔMICAS COM O SISTEMA DE RESERVA DE VAGAS</t>
  </si>
  <si>
    <t>DETERMINANTES DA DEMANDA INTERNACIONAL POR CAFÉ BRASILEIRO NO PERÍODO DE 1990 À 2012.</t>
  </si>
  <si>
    <t>ANÁLISE DA DISTRIBUIÇÃO DOS RECURSOS DO PROGRAMA NACIONAL DE FORTALECIMENTO DA AGRICULTURA FAMILIAR (PRONAF) NO ESTADO DA BAHIA ENTRE OS ANOS DE 2002 A 2012.</t>
  </si>
  <si>
    <t>A ESCOLHA DO CURSO DE NÍVEL SUPERIOR: O CASO DE CONCLUINTES DO ENSINO MÉDIO DE ILHÉUS - BAHIA</t>
  </si>
  <si>
    <t>O COMPORTAMENTO DO SALÁRIO MÍNIMO  DESDE A SUA INSTITUIÇÃO E UMA ANÁLISE DO CRESCIMENTO ECONÔMICO BRASILEIRO NA DÉCADA DE 1990.</t>
  </si>
  <si>
    <t>A COMISSÃO ECONÔMICA PARA AMÉRICA LATINA E CARIBE E SUAS CONTRIBUIÇÕES PARA ECONOMIA BRASILEIRA</t>
  </si>
  <si>
    <t>A INDUSTRIALIZAÇÃO NO SÉCULO XX E O PROCESSO DE PERDA DO DINAMISMO INDUSTRIAL BRASILEIRO DO SECULO XXI</t>
  </si>
  <si>
    <t xml:space="preserve">DINÂMICA DO MERCADO DE ÓLEO DE SOJA E SEUS EFEITOS SOBRE O BIODIESEL </t>
  </si>
  <si>
    <t>ANÁLISE SOCIOECONÔMICA DAS FAMÍLIAS NO PROJETO DE ASSENTAMENTO BRASIL EM BARRO PRETO - BAHIA</t>
  </si>
  <si>
    <t>CONDICIONANTES DO CONSUMO DOS PRODUTOS HERBALIFE NO MUNICÍPIO DE ILHÉUS - BAHIA, NO PERÍODO DE 2008 E 2013</t>
  </si>
  <si>
    <t>ANÁLISE DO COMPORTAMENTO DOS USUÁRIOS DOS SERVIÇOS OFERTADOS PELAS LAN HOUSES DO CENTRO DO MUNICÍPIO DE ILHÉUS, BAHIA</t>
  </si>
  <si>
    <t>ANÁLISE DA IMPLANTAÇÃO DAS PARCERIAS PÚBLICO-PRIVADAS NA GESTÃO PRISIONAL DO BRASIL</t>
  </si>
  <si>
    <t>MERCADO DE CRÉDITO E VARIAÇÃO DO CONSUMO NO BRASIL ENTRE 2008 E 2012</t>
  </si>
  <si>
    <t>ANÁLISE DOS ASPECTOS DO DESENVOLVIMENTO HUMANO NA MICROREGIÃO ILHÉUS-ITABUNA (ESTADO DA BAHIA) NO PERÍODO DE 1990 A 2010</t>
  </si>
  <si>
    <t>CRISE FINANCEIRA DE 2008: REFLEXOS NO MERCADO DE CAPITAIS BRASILEIRO</t>
  </si>
  <si>
    <t>O EMPREGO JUVENIL NO MUNICÍPIO DE ILHÉUS (BAHIA): UMA ANÁLISE A PARTIR DO PROGRAMA APRENDIZ LEGAL</t>
  </si>
  <si>
    <t>FINANCIAMENTO HABITACIONAL E PARTICIPAÇÃO DO CORRESPONDENTE BANCÁRIO PARA A CAIXA ECONÔMICA FEDERAL - AGÊNCIA ILHÉUS (BAHIA) NO PERÍODO DE 2010 A 2012</t>
  </si>
  <si>
    <t>CONTRIBUIÇÕES AO DEBATE SOBRE BANCARIZAÇÃO NO BRASIL CONTEMPORÂNEO.</t>
  </si>
  <si>
    <t>PERMANÊNCIA ESTUDANTIL NO CONTEXTO DAS AÇÕES AFIRMATIVAS DA UNIVERSIDADE ESTADUAL DE SANTA CRUZ</t>
  </si>
  <si>
    <t>PREVISÃO DE PREÇO DAS AÇÕES DA BRASKEM: UMA ANÁLISE A PARTIR DO MODELO ARIMA.</t>
  </si>
  <si>
    <t>ANÁLISE DO DESENVOLVIMENTO ECONÔMICO DA BAHIA, NO PERÍODO DE 1999 A 2008</t>
  </si>
  <si>
    <t>CARACTERIZAÇÃO SOCIOECONÔMICO DOS PESCADORES ARTESANAIS DA COMUNIDADE DE SÃO MIGUEL, ILHÉUS-BA.</t>
  </si>
  <si>
    <t>A IMPORTÂNCIA DA CONSERVAÇÃO E RECUPERAÇÃO DA PRAIA DA COROINHA EM ITACARÉ-BAHIA: UMA APLICAÇÃO DO MÉTODO DE VALORAÇÃO AMBIENTAL CONTIGENTE</t>
  </si>
  <si>
    <t>AÇÕES AFIRMATIVAS NA UESC: A RELAÇÃO ENTRE OS ASPECTOS SOCIOECONÔMICOS E A ESCOLHA DO CURSO UNIVERSITÁRIO DOS COTISTAS NEGROS NO PERÍODO DE 2009 A 2011</t>
  </si>
  <si>
    <t>POLÍTICAS PÚBLICAS PARA O DESENVOLVIMENTO ECONÔMICO: REFLEXÕES ACERCA DA INTERVENÇÃO DO ESTADO NO FOMENTO DO PÓLO DE INFORMÁTICA DE ILHÉUS-BAHIA</t>
  </si>
  <si>
    <t>ANÁLISE DO MERCADO DE TRABALHO POR GÊNERO NO ESTADO DA BAHIA: EVIDÊNCIAS DO PERÍODO DE 2001 A 2011.</t>
  </si>
  <si>
    <t>TRANSFERÊNCIA DE RENDA DIRETA: A EVOLUÇÃO DO PROGRAMA BOLSA FAMÍLIA NO MUNICÍPIO DE ITABUNA-BAHIA, NO PERÍODO DE 2004 A 2012.</t>
  </si>
  <si>
    <t>O GRAU DE EDUCAÇÃO FINANCEIRA DOS DISCENTES DO CURSO DE CIÊNCIAS ECONÔMICAS DA UNIVERSIDADE ESTADUAL DE SANTA CRUZ</t>
  </si>
  <si>
    <t>MICROEMPREENDEDORES INDIVIDUAIS NA CIDADE DE ITABUNA BAHIA: CARACTERIZAÇÃO DAS DEZ ATIVIDADES MAIS FREQUENTES</t>
  </si>
  <si>
    <t>CONSIDERAÇÕES AO DESEMPENHO DA ECONOMIA BRASILEIRA NO PERÍODO DE 1995 A 2010.</t>
  </si>
  <si>
    <t>POLÍTICAS PÚBLICAS PARA O SETOR AGRÍCOLA NO MUNICÍPIO DE ITABUNA-BAHIA APÓS A DÉCADA DE 1990</t>
  </si>
  <si>
    <t>BENEFÍCIOS DOS NÍVEIS DIFERENCIADOS DE GOVERNANÇA CORPORATIVA DA BM &amp; FBOVESPA: IMPACTOS SOBRE O CONTROLE ACIONÁRIO, A PARTICIPAÇÃO DO PEQUENO INVESTIDOR E O VOLUME FINANCEIRO NO SETOR ELÉTRICO</t>
  </si>
  <si>
    <t>PANORAMA DO SANEAMENTO BÁSICO NO MUNICÍPIO DE ITABUNA-BAHIA DE 2000 A 2010</t>
  </si>
  <si>
    <t>DEPENDÊNCIA ECONÔMICA DAS TRANSFERÊNCIAS INTERGOVERNAMENTAIS PARA COMPOSIÇÃO DAS RECEITAS DOS MUNICÍPIOS DA MICRORREGIÃO ILHÉUS-ITABUNA NA BAHIA</t>
  </si>
  <si>
    <t>UMA ANÁLISE DO ÍNDICE DE DESENVOLVIMENTO HUMANO SOB A PERSPECTIVA DA REALIDADE NO MUNICÍPIO DE UNA, BAHIA, NO PERÍODO DE 1991 A 2010.</t>
  </si>
  <si>
    <t>O DESENVOLVIMENTO ECONÔMICO E INDUSTRIAL DO BRASIL ENTRE OS ANOS DE 2000 E 2010</t>
  </si>
  <si>
    <t>A EVOLUÇÃO DOS INVESTIMENTOS EM APLICAÇÕES FINANCEIRAS NO BRASIL, DE 2001 A 2012</t>
  </si>
  <si>
    <t>EVOLUÇÃO DO FLUXO TURÍSTICO NO ESTADO DA BAHIA, NO PERÍODO DE 2003 A 2011</t>
  </si>
  <si>
    <t>COMPLEXO PORTO SUL E AS COMUNIDADES DO ENTORNO: CARACTERIZAÇÃO SOCIOECONÔMICA E VISÃO DAS COMUNIDADES LOCAIS.</t>
  </si>
  <si>
    <t>ANÁLISE DA CIDADE DE ITABUNA (BAHIA) COMO POLO DE CRESCIMENTO DO LITORAL SUL DA BAHIA NO PERÍODO DE 2003 A 2011</t>
  </si>
  <si>
    <t>ANÁLISE DA EVOLUÇÃO DO EMPRÉSTIMO CONSIGNADO DOS BENEFICIÁRIOS DA PREVIDÊNCIA SOCIAL DO MUNICÍPIO DE ITABUNA NO PERÍODO DE 2004 A 2011</t>
  </si>
  <si>
    <t xml:space="preserve">O EFEITO SAZONALIDADE-PREÇO DO TOMATE SOBRE O CUSTO DA CESTA BÁSICA </t>
  </si>
  <si>
    <t>ANÁLISE ECONÔMICA DA PRODUÇÃO DE ETANOL DE CANA-DE-AÇÚCAR NO BRASIL</t>
  </si>
  <si>
    <t>ESTUDO DA PARTICIPAÇÃO DA ECONOMIA DO SETOR PÚBLICO NO PIB DOS MUNICÍPIOS DA MICRORREGIÃO ILHÉUS-ITABUNA (BAHIA), 2005 - 2008</t>
  </si>
  <si>
    <t>NOVAÇÃO E COMPETITIVIDADE NO SETOR AUTOMOTIVO NO BRASIL: UMA BREVE REVISÃO BIBLIOGRÁFICA</t>
  </si>
  <si>
    <t>INOVAÇÃO E COMPETITIVIDADE EM UMA EMPRESA DE RECICLAGEM, NO MUNICÍPIO DE ITABUNA, BAHIA</t>
  </si>
  <si>
    <t>INSERÇÃO FEMININA NO MERCADO DE TRABALHO NA CIDADE DE ITABUNA- BAHIA E SUA PARTICIPAÇÃO NA RENDA FAMILIAR: UM ESTUDO DE CASO DO GRUPO BURITI – LOJAS DE MATERIAL DE CONSTRUÇÃO</t>
  </si>
  <si>
    <t>DESEMPENHO COMERCIAL DO BRASIL NO MERCOSUL, DE 1990 A 2011</t>
  </si>
  <si>
    <t>COMPORTAMENTO MERCADO IMOBILIÁRIO VERTICAL NO MUNICÍPIO DE ILHÉUS-BAHIA NO PERÍODO DE 2007 A 2012: UMA PERSPECTIVA DA OFERTA.</t>
  </si>
  <si>
    <t>O CONSUMO DE ENERGIA ELÉTRICA COMO INDICADOR DE CRESCIMENTO ECONÔMICO NO MUNICÍPIO DE ITABUNA (BAHIA) NO PERÍODO DE 1990 A 2012</t>
  </si>
  <si>
    <t>ANÁLISE DOS PROGRAMAS DE TRANSFERÊNCIA DE RENDA NA BAHIA, NO PERÍODO DE 2004 A 2010</t>
  </si>
  <si>
    <t xml:space="preserve">ANÁLISE DA EVOLUÇÃO DO MERCADO DE SOJA E A GERAÇÃO DE DIVISAS PARA O BRASIL </t>
  </si>
  <si>
    <t>ANÁLISE DO CONSUMO DE BENS FONOGRÁFICOS NO MUNICÍPIO DE ITABUNA-BAHIA</t>
  </si>
  <si>
    <t>ANÁLISE DAS EMPRESAS DE HIGIENE, ESTÉTICA E BELEZA NO MUNICÍPIO DE ITABUNA - BAHIA</t>
  </si>
  <si>
    <t>EDUCAÇÃO E PLANEJAMENTO FINANCEIRO E O ENDIVIDAMENTO DAS FAMÍLIAS BRASILEIRAS PELO CRÉDITO IMOBILIÁRIO</t>
  </si>
  <si>
    <t>ANÁLISE DO DESENVOLVIMENTO ECONÔMICO DOS MUNICÍPIOS DE ITABUNA E ILHÉUS-BAHIA NO PERÍODO ENTRE 1990 A 2010</t>
  </si>
  <si>
    <t>VARIÁVEIS AMBIENTAIS E PREÇO DE IMÓVEL NA ZONA SUL DA CIDADE DE ILHÉUS - BAHIA: UMA ABORDAGEM A PARTIR DA UTILIZAÇÃO DO MÉTODO DE PREÇOS HEDÔNICOS</t>
  </si>
  <si>
    <t>PREVIDÊNCIA SOCIAL: UMA ANÁLISE SOBRE A SUA INFLUÊNCIA NO DESEMPENHO ECONÔMICO DOS MUNICÍPIOS DO LITORAL SUL DA BAHIA</t>
  </si>
  <si>
    <t>A ANÁLISE DO COMPORTAMENTO DO SALÁRIO REAL E DAS CONDIÇÕES DE VIDA DO TRABALHADOR NO GOVERNO LULA</t>
  </si>
  <si>
    <t>A MISTIFICAÇÃO DA LIBERDADE NO CAPITALISMO CONTEMPORÂNEO</t>
  </si>
  <si>
    <t>RESPONSABILIDADE SOCIAL EMPRESARIAL NA ÁREA DA SAÚDE: O CASO DO HOSPITAL AMES, NA CIDADE DE EUNÁPOLIS, BAHIA EM 2010.</t>
  </si>
  <si>
    <t>O SENTIDO DA ECONOMIA POLÍTICA NO BRASIL: UMA ABORDAGEM A PARTIR DOS ESCRITOS DE JOSÉ DA SILVA LISBOA</t>
  </si>
  <si>
    <t>CONTRIBUIÇÕES AO DEBATE SOBRE RACIONALIDADE ECONÔMICA: UM ESTDUO COMPARATIVO DAS PERSPECTIVAS ORTODOXA, NOVO INSTITUCIONALISTA E COMPORTAMENTALISTA</t>
  </si>
  <si>
    <t>SEGURANÇA ALIMENTAR E PROGRAMA BOLSA FAMÍLIA NO MUNICÍPIO DE ITABUNA - BAHIA</t>
  </si>
  <si>
    <t>ECONOMIA SOLIDÁRIA: UM ESTUDO DE CASO DO CENTRO PÚBLICO DE ECONOMIA SOLIDÁRIA DO LITORAL SUL DO ESTADO DA BAHIA NO PERÍODO DE 2013</t>
  </si>
  <si>
    <t>ANÁLISE DA EVOLUÇÃO DA PRODUÇÃO DE CANA-DE-AÇÚCAR E FABRICAÇÃO DE ETANOL NO BRASIL</t>
  </si>
  <si>
    <t>CRESCIMENTO ECONÔMICO DOS MUNICÍPIOS DO ESTADO DA BAHIA NO PERÍODO DE 1996 A 2010: UMA ANÁLISE DA CONVERGÊNCIA DE RENDA COM BASE NO MODELO DE MANKIW, ROMER E WEIL (1992)</t>
  </si>
  <si>
    <t>A INFLUÊNCIA DA GOVERNANÇA CORPORATIVA NO DESEMPENHO DAS EMPRESAS DO SETOR ELÉTRICO BRASILEIRO NO PERÍODO DE 2010 A 2013</t>
  </si>
  <si>
    <t>ESTUDO DE VIABILIDADE ECONÔMICA PARA CONSTITUIÇÃO DE UMA COOPERATIVA DE MARISCOS NO ALTO DO MAMBAPE NO MUNICÍPIO DE ILHÉUS - BA</t>
  </si>
  <si>
    <t>PLANEJAMENTO FINANCEIRO E SUA RELAÇÃO COM A UTILIZAÇÃO DO CARTÃO DE CRÉDITO POR ESTUDANTES DA UNIVERSIDADE ESTADUAL DE SANTA CRUZ, ILHÉUS, BAHIA</t>
  </si>
  <si>
    <t>COOPERATIVA DE CRÉDITO DE LIVRE ADMISSÃO DE ASSOCIADOS DO LITORAL SUL DA BAHIA – SICOOB LITORAL SUL: UMA AVALIAÇÃO FINANCEIRA DO PERÍODO DE 2008 A 2013</t>
  </si>
  <si>
    <t>ANÁLISE DA GESTÃO EMPRESARIAL E DO PERFIL SOCIOECONÔMICO DO EMPREENDEDOR INDIVIDUAL NO BAIRRO SÃO CAETANO, ITABUNA-BA</t>
  </si>
  <si>
    <t>AS PERDAS NO FUNDO DE PARTICIPAÇÃO DOS MUNICÍPIOS (FPM) COM AS DESONERAÇÕES DO IPI: UMA ANÁLISE PARA OS MUNICÍPIOS DO SUL DA BAHIA ENTRE 2008 E 2012</t>
  </si>
  <si>
    <t>UMA OBSERVAÇÃO SOBRE A LEI DE RESPONSABILIDADE FISCAL E AS DESPESAS PÚBLICAS DO MUNICÍPIO DE IBIRAPITANGA/BA ENTRE 2001 E 2012</t>
  </si>
  <si>
    <t>ECONOMIA, HISTÓRIA E RELIGIÃO: REVELANDO UM VÉRTICE INSTITUCIONAL</t>
  </si>
  <si>
    <t>A COMPETITIVIDADE DA INDÚSTRIA AUTOMOBILÍSTICA BRASILEIRA NO MERCADO INTERNACIONAL DE 1994 A 2012</t>
  </si>
  <si>
    <t>O DESEMPENHO DAS EXPORTAÇÕES BAIANAS FRENTE À CRISE EUROPEIA, NO PERÍODO DE 2009 A 2013</t>
  </si>
  <si>
    <t>REFLEXÕES SOBRE A HISTÓRIA ECONÔMICA DO BRASIL NO PERÍODO DE 1930-1980: GOVERNOS DE GETÚLIO VARGAS E JUSCELINO KUBITSCHEK</t>
  </si>
  <si>
    <t>AS QUESTÕES AMBIENTAIS NO NORDESTE BRASILEIRO: ALGUMAS REFLEXÕES ECONÔMICAS</t>
  </si>
  <si>
    <t>EFEITOS ECONÔMICOS DA MINERADORA MIRABELA NOS MUNICÍPIOS DE IPIAÚ E ITAGIBÁ</t>
  </si>
  <si>
    <t>O COMPORTAMENTO DO CRÉDITO BANCÁRIO NO BRASIL ENTRE 2003 E 2013</t>
  </si>
  <si>
    <t>A RESPEITO DO PRINCÍPIO DE QUE INTERESSES EGOÍSTAS GERAM BENEFÍCIOS SOCIAIS: UMA ANÁLISE CONTEMPORÂNEA.</t>
  </si>
  <si>
    <t>UMA DESCRIÇÃO DA INSERÇÃO BRASILEIRA NO COMÉRCIO INTERNACIONAL ATRAVÉS DA EVOLUÇÃO DA BALANÇA COMERCIAL ENTRE 1808 E 2010</t>
  </si>
  <si>
    <t>SETOR VAREJISTA DE AUTOPEÇAS EM ITABUNA: PERCEPÇÃO DO EMPRESARIADO LOCAL QUANTO ÀS MEDIDAS DE INCENTIVO AO SETOR AUTOMOBILÍSTICO NO PÓS-CRISE 2008- 2013</t>
  </si>
  <si>
    <t>O PERFIL POLÍTICO ECONÔMICO DO GOVERNO DA PRESIDENTA DILMA ROUSSEFF</t>
  </si>
  <si>
    <t>O CAPITAL HUMANO NA CONTEMPORANEIDADE: UMA ANÁLISE SOBRE OS INVESTIMENTOS EM EDUCAÇÃO NUMA PERSPECTIVA MARXISTA</t>
  </si>
  <si>
    <t>OBSERVAÇÕES SOBRE O DESEMPENHO DOS INDICADORES ECONÔMICOS BRASILEIROS EM RELAÇÃO À POLÍTICA ECONÔMICA PRATICADA ENTRE 1995 E 2014</t>
  </si>
  <si>
    <t>O ESTADO DE BEM ESTAR SOCIAL NO BRASIL: UMA ANÁLISE A PARTIR DAS POLÍTICAS PÚBLICAS DE EDUCAÇÃO, HABITAÇÃO E ALIMENTAÇÃO</t>
  </si>
  <si>
    <t>POLÍTICAS PÚBLICAS APLICADAS NA LAVOURA CACAUEIRA BAIANA APÓS A INCIDÊNCIA DA DOENÇA VASSOURA-DE-BRUXA</t>
  </si>
  <si>
    <t>O CAPITALISMO E SUA INFLUÊNCIA NAS DECISÕES DAS FAMÍLIAS</t>
  </si>
  <si>
    <t>VOLATILIDADE DOS RETORNOS DAS AÇÕES DA BRASKEM NO PERÍODO DE 2005 A 2014: UMA ANÁLISE A PARTIR DO MODELO AUTO REGRESSIVO COM HETEROCEDASTICIDADE CONDICIONAL (ARCH)</t>
  </si>
  <si>
    <t>CAPITALISMO E MUDANÇA SOCIAL: REFLEXÕES SOBRE A ECONOMIA BRASILEIRA</t>
  </si>
  <si>
    <t>OS EFEITOS DOS ROYALTIES DA MINERAÇÃO SOBRE A PROMOÇÃO DO DESENVOLVIMENTO SOCIOECONÔMICO DOS MUNICÍPIOS BAIANOS: UMA ABORDAGEM POR ANÁLISE ENVOLTÓRIA DE DADOS – DEA</t>
  </si>
  <si>
    <t>O ASSOCIATIVISMO NO MUNICÍPIO DE COARACI – BAHIA: UM RECORTE DA ASSOCIAÇÃO DE PEQUENOS PRODUTORES RURAIS CORCOVADO/SÃO DOMINGOS</t>
  </si>
  <si>
    <t>O BIODIESEL NO BRASIL: SUA RELAÇÃO COM A PRODUÇÃO DO DENDÊ NA BAHIA</t>
  </si>
  <si>
    <t>GESTÃO PÚBLICA AMBIENTAL: uma caracterização dos casos dos municípios de Ilhéus e Itabuna</t>
  </si>
  <si>
    <t>O COMPORTAMENTO DO CONSUMIDOR DE BOTIJÃO DE GÁS NO BAIRRO CONQUISTA, MUNICÍPIO DE ILHÉUS, BAHIA</t>
  </si>
  <si>
    <t>INDICADORES DE DESEMPENHO DO COMÉRCIO INTERNACIONAL BAIANO: UMA ANÁLISE PARA SOJA, ALGODÃO E CACAU, ENTRE OS ANOS 2002 E 2012</t>
  </si>
  <si>
    <t>QUANTO REPRESENTA O DIPLOMA UNIVERSITÁRIO PARA OS ALUNOS DA UESC? – UMA ESTIMATIVA APÓS A IMPLANTAÇÃO DAS AÇÕES AFIRMATIVAS</t>
  </si>
  <si>
    <t>2015-11</t>
  </si>
  <si>
    <t>2015-12</t>
  </si>
  <si>
    <t>modo de segurança não salva. Sem resumo em arquivo separado</t>
  </si>
  <si>
    <t>2017-02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</si>
  <si>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</si>
  <si>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</si>
  <si>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</si>
  <si>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</si>
  <si>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</si>
  <si>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</si>
  <si>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</si>
  <si>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</si>
  <si>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Comercialização Agrícola</t>
  </si>
  <si>
    <t>Contabilidade</t>
  </si>
  <si>
    <t>Crescimento e Desenvolvimento Econômico</t>
  </si>
  <si>
    <t>Econometria</t>
  </si>
  <si>
    <t>Economia de Mercado</t>
  </si>
  <si>
    <t>Economia do Agronegócio</t>
  </si>
  <si>
    <t>Economia do Bem-Estar</t>
  </si>
  <si>
    <t>Economia e Empreendedorismo</t>
  </si>
  <si>
    <t>Economia e Filosofia</t>
  </si>
  <si>
    <t>Economia Social</t>
  </si>
  <si>
    <t>Econômica Financeira</t>
  </si>
  <si>
    <t>Educação e Planejamento Financeiro</t>
  </si>
  <si>
    <t>Engenharia Econômica</t>
  </si>
  <si>
    <t>Estado e Economia</t>
  </si>
  <si>
    <t>Flutuações Cíclicas e Projeções Econômicas</t>
  </si>
  <si>
    <t>Formação Histórica</t>
  </si>
  <si>
    <t>Formação Histórica do Brasil</t>
  </si>
  <si>
    <t>Gestão Ambiental</t>
  </si>
  <si>
    <t>História Econômica</t>
  </si>
  <si>
    <t>Macroeconomia Brasileira</t>
  </si>
  <si>
    <t>Métodos Quantitativos</t>
  </si>
  <si>
    <t>Política Cambial e Mercado Financeiro</t>
  </si>
  <si>
    <t>Política Monetária</t>
  </si>
  <si>
    <t>Política Social</t>
  </si>
  <si>
    <t>Políticas Sociais</t>
  </si>
  <si>
    <t>Previdência Social</t>
  </si>
  <si>
    <t>Projeto</t>
  </si>
  <si>
    <t>Psicologia Econômica</t>
  </si>
  <si>
    <t>Responsabilidade Social Empresarial</t>
  </si>
  <si>
    <t>Saúde Pública</t>
  </si>
  <si>
    <t>Teórico Quantitativo</t>
  </si>
  <si>
    <t>1998-01</t>
  </si>
  <si>
    <t>O COMPORTAMENTO DO IMPOSTO PREDIAL E TERRITORIAL URBANO NA CIDADE DE ITABUNA, NO PERIODO DE 1987 A 1996</t>
  </si>
  <si>
    <t>Receitas próprias, receitas de transferência, IPTU, ISS, Taxas, Receitas Tributária, Receita de Impostos Locais, Inadimplência, Modelo de arrecadação.</t>
  </si>
  <si>
    <t>Jovelina Silva Santos</t>
  </si>
  <si>
    <t>Laercio Martins Pinho</t>
  </si>
  <si>
    <t>1998-02</t>
  </si>
  <si>
    <t>ANÁLISE DO DESEMPENHO DA ARRECADAÇÃO DO IPTU NO MUNICÍPIO DE ILHÉUS, NO PERÍODO DE 1989 a 1996</t>
  </si>
  <si>
    <t xml:space="preserve">Receita Municipal, Receita Tributária, Impostos Municipais, IPTU mecanismo de Arrecadação, Inadimplência </t>
  </si>
  <si>
    <t>Karla Adriana Alcântara de Melo</t>
  </si>
  <si>
    <t>1999-01</t>
  </si>
  <si>
    <t>ANÁLISE DO CRESCIMNTO ECONÔMICO DO ESTADO DA BAHIA ENTRE 1985 E 1997.</t>
  </si>
  <si>
    <t>Celeste Oliveira dos Santos</t>
  </si>
  <si>
    <t>1999-02</t>
  </si>
  <si>
    <t>ANÁLISE DO PADRÃO DE VIDA DOS MORADORES DO BAIRRO DA URBIS, EM ILHÉUS-BA</t>
  </si>
  <si>
    <t>Gileide Pinto Silva</t>
  </si>
  <si>
    <t>2000-01</t>
  </si>
  <si>
    <t>VIABILIDADE FINANCEIRA DA PUMPUNHA PARA PALMITO NA REGIÃO CACAUEIRA DA BAHIA</t>
  </si>
  <si>
    <t>Viabilidade Financeira, Palmito da Pumpunha, Bahia.</t>
  </si>
  <si>
    <t>Adilson Alves da Silva</t>
  </si>
  <si>
    <t xml:space="preserve">Antonio Carlos Araújo </t>
  </si>
  <si>
    <t>2000-02</t>
  </si>
  <si>
    <t xml:space="preserve">DIAGNÓSTICO DAS PRINCIPAIS CARACTÉRISTICAS DAS LOJAS DE PREÇO ÚNICO DA CIDADE DE ITABUNA </t>
  </si>
  <si>
    <t>2001-01</t>
  </si>
  <si>
    <t>O IMPACTO FINANCEIRO DA UESC NO MUNICIPIOS DE ILHÉUS E ITABUNA</t>
  </si>
  <si>
    <t>Hilmar Hilton S. Ferreira</t>
  </si>
  <si>
    <t>2001-02</t>
  </si>
  <si>
    <t>CONDIÇÕES DE VIDA PARA QUEM PRATICA O COMERCIO INFORMAL AMBULANTE: O caso de Ilhéus</t>
  </si>
  <si>
    <t>Evandro Dantas de Oliveira</t>
  </si>
  <si>
    <t>2001-03</t>
  </si>
  <si>
    <t>ANÁLISE DAS CONTAS PUBLICAS, DO MUNICÍPIO DE ITABUNA 1989-2000</t>
  </si>
  <si>
    <t xml:space="preserve">Contas Publicas, Orçamento, União, Estado, Município, Receitas, Despesas, Tributos, Taxas, Câmara Municípal </t>
  </si>
  <si>
    <t>Galdino Viana Xavier</t>
  </si>
  <si>
    <t>João Manoel Afonso</t>
  </si>
  <si>
    <t>2001-04</t>
  </si>
  <si>
    <t>ANÁLISE DA OFERTA BRASILEIRA DO CAFÉ NO PERIODO DE 1970 A 1999</t>
  </si>
  <si>
    <t>Oferta, Café, Modelo de Ajustamento, Parcial de Nerlove</t>
  </si>
  <si>
    <t>Juliana Vieira de Carvalho</t>
  </si>
  <si>
    <t>José Antonio Gonçalves dos Santos</t>
  </si>
  <si>
    <t>2001-05</t>
  </si>
  <si>
    <t>VIABILIDADE FINANCEIRA DO CULTIVO DE PIMENTA-DO-REINO NO MUNICÍPIO DE ITUBERÁ</t>
  </si>
  <si>
    <t>Luciana Aparecida Novais Silva</t>
  </si>
  <si>
    <t>Céliio Kersul do Sacramento</t>
  </si>
  <si>
    <t>2001-06</t>
  </si>
  <si>
    <t>ANALISE DO INDICE DE DESENVOLVIMENTO HUMANO DO ESTADO DA BAHIA NO PERIODO DE 1970 - 1999</t>
  </si>
  <si>
    <t>Dessenvolvimento, Qualidade de Vida, IDH, Longevidade, Educação, Renda Familiar</t>
  </si>
  <si>
    <t>Mõnica Borges Mansur</t>
  </si>
  <si>
    <t>2001-07</t>
  </si>
  <si>
    <t>COMPORTAMENTO DA CURVA PHILLIPS NO BRASIL NO PERIODO DE 1990 A 2000</t>
  </si>
  <si>
    <t>Patrícia Menezes Morais</t>
  </si>
  <si>
    <t>2001-08</t>
  </si>
  <si>
    <t>ANÁLISE DA ESTRUTURA FUNDIARIA  DAS TRES MICRORREGIOES QUE COMPOEM O SUL DA BAHIA COMPLEMENTANDO O PROGRAMA PILOTO DO CORREDOR DO DESCOBRIMENTO (PROBRIO</t>
  </si>
  <si>
    <t>Estrutura Fundiaria, Corredores Ecologico- Microrregião, Mesorregião</t>
  </si>
  <si>
    <t>Paulo Sergio vila Nova</t>
  </si>
  <si>
    <t>Keith Norman Alger</t>
  </si>
  <si>
    <t>2001-09</t>
  </si>
  <si>
    <t>2001-10</t>
  </si>
  <si>
    <t>VIABILIDADE FINANCEIRA DO CULTIVO DE MEL NA MICRORREGIÃO ILHÉUS - ITABUNA</t>
  </si>
  <si>
    <t>Míriam Dias Ramos</t>
  </si>
  <si>
    <t>Gilberto Carlos Cerqueira Mascarenhas</t>
  </si>
  <si>
    <t>2001-11</t>
  </si>
  <si>
    <t>ABERTURA COMERCIAL DA ECONOMIA BRASILEIRA E SUAS INFLUÊNCIAS SOBRE A INFLUÊNCIA SOBRE A PRODUÇÃO INTERNA DE TRIGO</t>
  </si>
  <si>
    <t>Janio Mendes dos Santos</t>
  </si>
  <si>
    <t>2001-12</t>
  </si>
  <si>
    <t>VANTAGENS ECONOMICAS DA PRODUÇÃO DE PUMPUNHA  PARA A EXTRAÇÃO DE PALMITO NO MUNICÍPIO DE UMA- BAHIA</t>
  </si>
  <si>
    <t>Monica de Moura Pires</t>
  </si>
  <si>
    <t>2001-13</t>
  </si>
  <si>
    <t>ANÁLISE DA CAPACIDADE DE GERAÇÃO DE EMPREGO E RENDA DO SETOR DE ALIMENTOS E BEBIDAS DA CADEIA PRODUTIVA DO TURISMO NO MUNICIPIO DE ILHÉUS-BA</t>
  </si>
  <si>
    <t>Marcos Vinicius Bonfim</t>
  </si>
  <si>
    <t>Antonio Joaquim Bastos da Silva</t>
  </si>
  <si>
    <t>2001-14</t>
  </si>
  <si>
    <t xml:space="preserve">DESPESSAS COM A INTERNAÇÃO HOSPITALAR E O REPASSE DO SISTEMA ÚNICO DE SAÚDE (SUS): UMA ANÀLISE PARA DEZ PROCEDIMENTOS MEDICOS NA MATERNIDADE </t>
  </si>
  <si>
    <t>Maria Jose Pereira da Silva</t>
  </si>
  <si>
    <t>Luciano Ribeiro Machado</t>
  </si>
  <si>
    <t>2001-15</t>
  </si>
  <si>
    <t>O PERFIL DO SETOR INFORMAL NA ATIVIDADE COMERCIAL, O CASO DA FEIRA DE ARTESANATO "Dom Eduardo"</t>
  </si>
  <si>
    <t>Hilda Maria Ribeiro Chagas</t>
  </si>
  <si>
    <t>2001-16</t>
  </si>
  <si>
    <t>A VIABILIDADE ECONÔMICA DA PRODUÇÃO DE TILÁPIA EM SISTEMA INTENSIVO NO MUNICIPIO IBIRATAIA - BAHIA</t>
  </si>
  <si>
    <t>Bismarck Novais Silva Pereira</t>
  </si>
  <si>
    <t>Marcelo Inácio F. Ferraz</t>
  </si>
  <si>
    <t>2001-17</t>
  </si>
  <si>
    <t>SITUAÇÃO OCUPACIONAL: o egresso de economia/UESC da década de noventa sob a égide da restruturação produtiva e do capital humano</t>
  </si>
  <si>
    <t>Mudanças no mercado de trabalho, década de noventa, egressos de Economia</t>
  </si>
  <si>
    <t>Helga Sulce Bispo Passos</t>
  </si>
  <si>
    <t>2002-01</t>
  </si>
  <si>
    <t>EMPREGABILIDADE DE ALUNOS E EGRESSOS DO ENSINO PROFISSIONALIZANTES: O caso de Aurelino Leal</t>
  </si>
  <si>
    <t>Curso Profissionalizante de Nivél tecnico em Administração em Empresas, Corpo docente, Corpo discente, Egressos, Mercado de Trabalho</t>
  </si>
  <si>
    <t>Adriano Santos Lago</t>
  </si>
  <si>
    <t>2002-02</t>
  </si>
  <si>
    <t>A RESIST~ENCIA À APLICAÇÃO EM AÇÕES  E A PREFERENCIA À CADERNETA DE POUPANÇA MESMO DIANTE DA SUA BAIXA RENTABILIDADE, PELOS CORRENTISTAS DO BANCO DO BRASIL EM UBAITABA</t>
  </si>
  <si>
    <t xml:space="preserve">Banco do Brasil, Mercado Financeiro, Ações, Caderneta de Poupança, Rentabilidade </t>
  </si>
  <si>
    <t>Dilleâ Messias Batista Silva</t>
  </si>
  <si>
    <t>2002-03</t>
  </si>
  <si>
    <t>VIABILIDADE ECONOMICA DE IMPLANTAÇÃO  DE UM SERVIÇO DE TRANSPORTE COLETIVO URBANO EM GANDU-BA</t>
  </si>
  <si>
    <t>Edinaldo Bispo dos Santos</t>
  </si>
  <si>
    <t>Hilmar Ilton Santana</t>
  </si>
  <si>
    <t>2002-04</t>
  </si>
  <si>
    <t>O IMPACTO DO FUNDEF NO MUNICÍPIO DE UNA-BA</t>
  </si>
  <si>
    <t>Magali Silva de Oliveira</t>
  </si>
  <si>
    <t>2002-05</t>
  </si>
  <si>
    <t>MEDIDAS NÃO-PARAMÉTRICAS DE EFICIÊNCIA TECNICA DAS MICROS E PEQUENAS INDÚSTRIAS DE CONFECÇÕES DO EIXO ITABUNA-ILHÉUS, ESTADO DA BAHIA</t>
  </si>
  <si>
    <t>Eficiencia, produtividade, industria de confecções, DEA</t>
  </si>
  <si>
    <t>Nadja Aline Melo de Oliveira Sena</t>
  </si>
  <si>
    <t>Carlos Augusto Pereira Filho'</t>
  </si>
  <si>
    <t>2002-06</t>
  </si>
  <si>
    <t>IMPACTO DO FUNDEF SOBRE A EDUCAÇÃO NO MUNICÍPIO DE ILHÉUS</t>
  </si>
  <si>
    <t>Economia da Educação, Fundef, Politicas Publicas e Educação, Finanças publicas, Exclusão Social, Ensino Fundamental e Ilhéus</t>
  </si>
  <si>
    <t>Vladimir Mendes Hughes</t>
  </si>
  <si>
    <t>Alessandro Fernandes Santana</t>
  </si>
  <si>
    <t>2002-07</t>
  </si>
  <si>
    <t>A INFLUENCIA DA TAXA DE CAMBIO NAS CONTAS DO BALANÇO DE PAGAMENTO: O caso brasileiro (19+79-1999)</t>
  </si>
  <si>
    <t>Balança Comercial, Balança de Serviços, Transferencias Unilaterais, Conta de Capitais, Elasticidade</t>
  </si>
  <si>
    <t>Flavio Marcelo Sirqueira Barbosa</t>
  </si>
  <si>
    <t xml:space="preserve">José Carlos Chagas </t>
  </si>
  <si>
    <t>2003-01</t>
  </si>
  <si>
    <t>TURISMO RURAL COMO OPÇÃO ECONOMICA PARA O MUNICÍPIO DE ILHÉUS: O caso da Fazenda Primavera</t>
  </si>
  <si>
    <t>Maria Teresa Silveira Calixto</t>
  </si>
  <si>
    <t>2003-02</t>
  </si>
  <si>
    <t>UMA ANALISE DO PROCESSO DE DIVERSIFICAÇÃO AGRÍCOLA NA MICRORREGIÃO CACAUEIRAEX ANTES E EX POSTO ADVENTO DA VASSOURA-DE-BRUXA</t>
  </si>
  <si>
    <t>Diversificação, Inovação, Crinipelis Perniciosa, Demanda Interna, Subsistencia, Produção, Beneficiamento, Comercialização, Rentabilidade. Desenvolvimento e Escala Empresarial</t>
  </si>
  <si>
    <t>Marcks Silveira Borges</t>
  </si>
  <si>
    <t>2003-03</t>
  </si>
  <si>
    <t>2003-04</t>
  </si>
  <si>
    <t>Autor (estudo dirigido/relatório de estágio)</t>
  </si>
  <si>
    <t>Aline Ramos Costa</t>
  </si>
  <si>
    <t>Ana Clécia Bonfim Oliveira</t>
  </si>
  <si>
    <t xml:space="preserve">Artur Assunção da Silva </t>
  </si>
  <si>
    <t>Daniella Feitosa Raic</t>
  </si>
  <si>
    <t>Flávia Crolina Rodrigues dos Santos</t>
  </si>
  <si>
    <t>Gerisvaldo da Silva</t>
  </si>
  <si>
    <t>Helton Carvalho Santos</t>
  </si>
  <si>
    <t>Igor Melo *</t>
  </si>
  <si>
    <t>Jessé leal Silva</t>
  </si>
  <si>
    <t>Leandro Cardoso Silva de Lima</t>
  </si>
  <si>
    <t>Lucigleide Ribeiro Souza</t>
  </si>
  <si>
    <t>Murilo Ângelo Santos de Sousa</t>
  </si>
  <si>
    <t>Victor Mateus Camargo Silva</t>
  </si>
  <si>
    <t>Wagner Oliveira Ayres de A. Freitas</t>
  </si>
  <si>
    <t>resumo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</si>
</sst>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yyyy"/>
    <numFmt numFmtId="165" formatCode="yyyy\-mm"/>
    <numFmt numFmtId="166" formatCode="yyyy\-m"/>
    <numFmt numFmtId="167" formatCode="yyyy-mm"/>
    <numFmt numFmtId="168" formatCode="yyyy-m"/>
  </numFmts>
  <fonts count="105">
    <font>
      <sz val="10.0"/>
      <color rgb="FF000000"/>
      <name val="Arial"/>
    </font>
    <font>
      <b/>
      <sz val="20.0"/>
      <color theme="1"/>
      <name val="Calibri"/>
    </font>
    <font>
      <sz val="20.0"/>
      <color theme="1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sz val="10.0"/>
      <color theme="1"/>
      <name val="Arial"/>
    </font>
    <font>
      <b/>
      <sz val="10.0"/>
      <color rgb="FF000080"/>
      <name val="Calibri"/>
    </font>
    <font>
      <b/>
      <sz val="10.0"/>
      <color rgb="FF808080"/>
      <name val="Times New Roman"/>
    </font>
    <font>
      <b/>
      <sz val="10.0"/>
      <color rgb="FF333399"/>
      <name val="Calibri"/>
    </font>
    <font>
      <b/>
      <sz val="11.0"/>
      <color theme="1"/>
      <name val="Arial"/>
    </font>
    <font>
      <b/>
      <sz val="12.0"/>
      <color theme="1"/>
      <name val="Arial"/>
    </font>
    <font>
      <sz val="8.0"/>
      <color theme="1"/>
      <name val="Arial"/>
    </font>
    <font>
      <sz val="9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sz val="11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1.0"/>
      <color rgb="FF0000FF"/>
      <name val="Arial"/>
    </font>
    <font>
      <u/>
      <sz val="10.0"/>
      <color rgb="FF0000FF"/>
      <name val="Arial"/>
    </font>
    <font>
      <u/>
      <sz val="11.0"/>
      <color rgb="FF0000FF"/>
      <name val="Arial"/>
    </font>
    <font>
      <u/>
      <sz val="10.0"/>
      <color rgb="FF0000FF"/>
      <name val="Arial"/>
    </font>
    <font>
      <u/>
      <sz val="11.0"/>
      <color rgb="FF0000FF"/>
      <name val="Arial"/>
    </font>
    <font>
      <u/>
      <sz val="10.0"/>
      <color rgb="FF1155CC"/>
      <name val="Arial"/>
    </font>
    <font>
      <u/>
      <sz val="11.0"/>
      <color rgb="FF1155CC"/>
      <name val="Arial"/>
    </font>
    <font>
      <u/>
      <sz val="11.0"/>
      <color rgb="FF1155CC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1.0"/>
      <color rgb="FF1155CC"/>
      <name val="Arial"/>
    </font>
    <font>
      <u/>
      <sz val="10.0"/>
      <color rgb="FF0000FF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1.0"/>
      <color rgb="FF1155CC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0000FF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0000FF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sz val="10.0"/>
      <name val="Arial"/>
    </font>
    <font>
      <sz val="11.0"/>
      <name val="Arial"/>
    </font>
    <font>
      <sz val="10.0"/>
      <color rgb="FF1155CC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1.0"/>
      <color rgb="FF0000FF"/>
      <name val="Arial"/>
    </font>
    <font>
      <sz val="10.0"/>
      <color theme="1"/>
      <name val="Calibri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b/>
      <sz val="10.0"/>
      <color theme="1"/>
      <name val="Arial"/>
    </font>
    <font/>
    <font>
      <b/>
      <sz val="10.0"/>
      <color rgb="FF00CCFF"/>
      <name val="Calibri"/>
    </font>
    <font>
      <b/>
      <sz val="11.0"/>
      <color rgb="FF333399"/>
      <name val="Arial"/>
    </font>
    <font>
      <sz val="10.0"/>
      <color rgb="FF00CCFF"/>
      <name val="Arial"/>
    </font>
    <font>
      <u/>
      <sz val="10.0"/>
      <color rgb="FF00CCFF"/>
      <name val="Arial"/>
    </font>
    <font>
      <u/>
      <sz val="10.0"/>
      <color rgb="FF00CCFF"/>
      <name val="Arial"/>
    </font>
    <font>
      <sz val="11.0"/>
      <color rgb="FF00CCFF"/>
      <name val="Arial"/>
    </font>
    <font>
      <color theme="1"/>
      <name val="Calibri"/>
    </font>
    <font>
      <sz val="11.0"/>
      <color rgb="FFFF0000"/>
      <name val="Arial"/>
    </font>
  </fonts>
  <fills count="1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99594"/>
        <bgColor rgb="FFD99594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</fills>
  <borders count="34">
    <border/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thin">
        <color rgb="FF000000"/>
      </top>
    </border>
    <border>
      <left/>
      <right/>
      <top style="thin">
        <color rgb="FF000000"/>
      </top>
    </border>
    <border>
      <left/>
      <right/>
      <top/>
      <bottom style="thin">
        <color rgb="FF000000"/>
      </bottom>
    </border>
    <border>
      <left/>
      <righ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2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top"/>
    </xf>
    <xf borderId="1" fillId="2" fontId="1" numFmtId="0" xfId="0" applyAlignment="1" applyBorder="1" applyFill="1" applyFont="1">
      <alignment horizontal="center" vertical="top"/>
    </xf>
    <xf borderId="1" fillId="2" fontId="2" numFmtId="0" xfId="0" applyBorder="1" applyFont="1"/>
    <xf borderId="0" fillId="0" fontId="2" numFmtId="0" xfId="0" applyFont="1"/>
    <xf borderId="0" fillId="0" fontId="3" numFmtId="0" xfId="0" applyAlignment="1" applyFont="1">
      <alignment horizontal="center"/>
    </xf>
    <xf borderId="1" fillId="2" fontId="4" numFmtId="0" xfId="0" applyAlignment="1" applyBorder="1" applyFont="1">
      <alignment horizontal="center"/>
    </xf>
    <xf borderId="1" fillId="2" fontId="5" numFmtId="0" xfId="0" applyBorder="1" applyFont="1"/>
    <xf borderId="0" fillId="0" fontId="5" numFmtId="0" xfId="0" applyFont="1"/>
    <xf borderId="0" fillId="0" fontId="4" numFmtId="0" xfId="0" applyAlignment="1" applyFont="1">
      <alignment horizontal="center" vertical="top"/>
    </xf>
    <xf borderId="1" fillId="2" fontId="4" numFmtId="0" xfId="0" applyAlignment="1" applyBorder="1" applyFont="1">
      <alignment horizontal="center" vertical="top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2" fillId="3" fontId="9" numFmtId="0" xfId="0" applyAlignment="1" applyBorder="1" applyFill="1" applyFont="1">
      <alignment horizontal="left" shrinkToFit="0" vertical="center" wrapText="1"/>
    </xf>
    <xf borderId="3" fillId="3" fontId="10" numFmtId="0" xfId="0" applyAlignment="1" applyBorder="1" applyFont="1">
      <alignment horizontal="left" shrinkToFit="0" vertical="center" wrapText="1"/>
    </xf>
    <xf borderId="3" fillId="3" fontId="9" numFmtId="0" xfId="0" applyAlignment="1" applyBorder="1" applyFont="1">
      <alignment horizontal="left" shrinkToFit="0" vertical="center" wrapText="1"/>
    </xf>
    <xf borderId="4" fillId="3" fontId="9" numFmtId="0" xfId="0" applyAlignment="1" applyBorder="1" applyFont="1">
      <alignment horizontal="left" shrinkToFit="0" vertical="center" wrapText="1"/>
    </xf>
    <xf borderId="1" fillId="2" fontId="9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5" fillId="3" fontId="11" numFmtId="0" xfId="0" applyAlignment="1" applyBorder="1" applyFont="1">
      <alignment horizontal="left" shrinkToFit="0" vertical="center" wrapText="1"/>
    </xf>
    <xf borderId="6" fillId="3" fontId="12" numFmtId="0" xfId="0" applyAlignment="1" applyBorder="1" applyFont="1">
      <alignment horizontal="left" shrinkToFit="0" vertical="center" wrapText="1"/>
    </xf>
    <xf borderId="6" fillId="3" fontId="9" numFmtId="0" xfId="0" applyAlignment="1" applyBorder="1" applyFont="1">
      <alignment horizontal="left" shrinkToFit="0" vertical="center" wrapText="1"/>
    </xf>
    <xf borderId="7" fillId="3" fontId="9" numFmtId="0" xfId="0" applyAlignment="1" applyBorder="1" applyFont="1">
      <alignment horizontal="left" shrinkToFit="0" vertical="center" wrapText="1"/>
    </xf>
    <xf borderId="5" fillId="0" fontId="13" numFmtId="0" xfId="0" applyAlignment="1" applyBorder="1" applyFont="1">
      <alignment horizontal="left" shrinkToFit="0" vertical="center" wrapText="1"/>
    </xf>
    <xf borderId="6" fillId="0" fontId="14" numFmtId="0" xfId="0" applyAlignment="1" applyBorder="1" applyFont="1">
      <alignment horizontal="left" shrinkToFit="0" vertical="center" wrapText="1"/>
    </xf>
    <xf borderId="6" fillId="0" fontId="15" numFmtId="0" xfId="0" applyAlignment="1" applyBorder="1" applyFont="1">
      <alignment horizontal="left" shrinkToFit="0" vertical="center" wrapText="1"/>
    </xf>
    <xf borderId="7" fillId="0" fontId="15" numFmtId="164" xfId="0" applyAlignment="1" applyBorder="1" applyFont="1" applyNumberFormat="1">
      <alignment horizontal="left" shrinkToFit="0" vertical="center" wrapText="1"/>
    </xf>
    <xf borderId="1" fillId="2" fontId="15" numFmtId="0" xfId="0" applyBorder="1" applyFont="1"/>
    <xf borderId="0" fillId="0" fontId="15" numFmtId="0" xfId="0" applyFont="1"/>
    <xf borderId="5" fillId="4" fontId="16" numFmtId="0" xfId="0" applyAlignment="1" applyBorder="1" applyFill="1" applyFont="1">
      <alignment horizontal="left" shrinkToFit="0" vertical="center" wrapText="1"/>
    </xf>
    <xf borderId="6" fillId="4" fontId="17" numFmtId="0" xfId="0" applyAlignment="1" applyBorder="1" applyFont="1">
      <alignment horizontal="left" shrinkToFit="0" vertical="center" wrapText="1"/>
    </xf>
    <xf borderId="6" fillId="4" fontId="15" numFmtId="0" xfId="0" applyAlignment="1" applyBorder="1" applyFont="1">
      <alignment horizontal="left" shrinkToFit="0" vertical="center" wrapText="1"/>
    </xf>
    <xf borderId="7" fillId="4" fontId="15" numFmtId="164" xfId="0" applyAlignment="1" applyBorder="1" applyFont="1" applyNumberFormat="1">
      <alignment horizontal="left" shrinkToFit="0" vertical="center" wrapText="1"/>
    </xf>
    <xf borderId="7" fillId="0" fontId="15" numFmtId="0" xfId="0" applyAlignment="1" applyBorder="1" applyFont="1">
      <alignment horizontal="left" shrinkToFit="0" vertical="center" wrapText="1"/>
    </xf>
    <xf borderId="7" fillId="4" fontId="15" numFmtId="0" xfId="0" applyAlignment="1" applyBorder="1" applyFont="1">
      <alignment horizontal="left" shrinkToFit="0" vertical="center" wrapText="1"/>
    </xf>
    <xf borderId="5" fillId="5" fontId="18" numFmtId="165" xfId="0" applyAlignment="1" applyBorder="1" applyFill="1" applyFont="1" applyNumberFormat="1">
      <alignment horizontal="left" vertical="center"/>
    </xf>
    <xf borderId="0" fillId="0" fontId="15" numFmtId="0" xfId="0" applyAlignment="1" applyFont="1">
      <alignment horizontal="left" shrinkToFit="0" vertical="center" wrapText="1"/>
    </xf>
    <xf borderId="5" fillId="4" fontId="19" numFmtId="0" xfId="0" applyAlignment="1" applyBorder="1" applyFont="1">
      <alignment horizontal="left" shrinkToFit="0" vertical="center" wrapText="1"/>
    </xf>
    <xf borderId="6" fillId="4" fontId="20" numFmtId="0" xfId="0" applyAlignment="1" applyBorder="1" applyFont="1">
      <alignment horizontal="left" shrinkToFit="0" vertical="center" wrapText="1"/>
    </xf>
    <xf borderId="5" fillId="0" fontId="21" numFmtId="0" xfId="0" applyAlignment="1" applyBorder="1" applyFont="1">
      <alignment vertical="center"/>
    </xf>
    <xf borderId="0" fillId="0" fontId="15" numFmtId="0" xfId="0" applyAlignment="1" applyFont="1">
      <alignment vertical="center"/>
    </xf>
    <xf borderId="5" fillId="0" fontId="22" numFmtId="0" xfId="0" applyAlignment="1" applyBorder="1" applyFont="1">
      <alignment horizontal="left" shrinkToFit="0" vertical="center" wrapText="1"/>
    </xf>
    <xf borderId="5" fillId="5" fontId="23" numFmtId="0" xfId="0" applyAlignment="1" applyBorder="1" applyFont="1">
      <alignment vertical="center"/>
    </xf>
    <xf borderId="0" fillId="0" fontId="15" numFmtId="0" xfId="0" applyAlignment="1" applyFont="1">
      <alignment shrinkToFit="0" vertical="center" wrapText="1"/>
    </xf>
    <xf borderId="5" fillId="4" fontId="24" numFmtId="0" xfId="0" applyAlignment="1" applyBorder="1" applyFont="1">
      <alignment horizontal="left" shrinkToFit="0" vertical="center" wrapText="1"/>
    </xf>
    <xf borderId="0" fillId="0" fontId="15" numFmtId="0" xfId="0" applyAlignment="1" applyFont="1">
      <alignment horizontal="left" vertical="center"/>
    </xf>
    <xf borderId="6" fillId="4" fontId="5" numFmtId="0" xfId="0" applyAlignment="1" applyBorder="1" applyFont="1">
      <alignment horizontal="left" shrinkToFit="0" vertical="center" wrapText="1"/>
    </xf>
    <xf borderId="5" fillId="0" fontId="25" numFmtId="165" xfId="0" applyAlignment="1" applyBorder="1" applyFont="1" applyNumberFormat="1">
      <alignment horizontal="left" vertical="center"/>
    </xf>
    <xf borderId="5" fillId="4" fontId="26" numFmtId="166" xfId="0" applyAlignment="1" applyBorder="1" applyFont="1" applyNumberFormat="1">
      <alignment horizontal="left" shrinkToFit="0" vertical="center" wrapText="1"/>
    </xf>
    <xf borderId="5" fillId="0" fontId="27" numFmtId="0" xfId="0" applyAlignment="1" applyBorder="1" applyFont="1">
      <alignment horizontal="left" shrinkToFit="0" vertical="center" wrapText="1"/>
    </xf>
    <xf borderId="5" fillId="5" fontId="28" numFmtId="0" xfId="0" applyAlignment="1" applyBorder="1" applyFont="1">
      <alignment horizontal="left" shrinkToFit="0" vertical="center" wrapText="1"/>
    </xf>
    <xf borderId="6" fillId="5" fontId="29" numFmtId="0" xfId="0" applyAlignment="1" applyBorder="1" applyFont="1">
      <alignment horizontal="left" shrinkToFit="0" vertical="center" wrapText="1"/>
    </xf>
    <xf borderId="6" fillId="5" fontId="15" numFmtId="0" xfId="0" applyAlignment="1" applyBorder="1" applyFont="1">
      <alignment horizontal="left" shrinkToFit="0" vertical="center" wrapText="1"/>
    </xf>
    <xf borderId="7" fillId="5" fontId="15" numFmtId="164" xfId="0" applyAlignment="1" applyBorder="1" applyFont="1" applyNumberFormat="1">
      <alignment horizontal="left" shrinkToFit="0" vertical="center" wrapText="1"/>
    </xf>
    <xf borderId="5" fillId="6" fontId="30" numFmtId="0" xfId="0" applyAlignment="1" applyBorder="1" applyFill="1" applyFont="1">
      <alignment horizontal="left" shrinkToFit="0" vertical="center" wrapText="1"/>
    </xf>
    <xf borderId="6" fillId="6" fontId="31" numFmtId="0" xfId="0" applyAlignment="1" applyBorder="1" applyFont="1">
      <alignment horizontal="left" shrinkToFit="0" vertical="center" wrapText="1"/>
    </xf>
    <xf borderId="6" fillId="6" fontId="15" numFmtId="0" xfId="0" applyAlignment="1" applyBorder="1" applyFont="1">
      <alignment horizontal="left" shrinkToFit="0" vertical="center" wrapText="1"/>
    </xf>
    <xf borderId="7" fillId="6" fontId="15" numFmtId="0" xfId="0" applyAlignment="1" applyBorder="1" applyFont="1">
      <alignment horizontal="left" shrinkToFit="0" vertical="center" wrapText="1"/>
    </xf>
    <xf borderId="1" fillId="6" fontId="15" numFmtId="0" xfId="0" applyBorder="1" applyFont="1"/>
    <xf borderId="6" fillId="0" fontId="32" numFmtId="0" xfId="0" applyAlignment="1" applyBorder="1" applyFont="1">
      <alignment shrinkToFit="0" vertical="center" wrapText="1"/>
    </xf>
    <xf borderId="5" fillId="4" fontId="33" numFmtId="0" xfId="0" applyAlignment="1" applyBorder="1" applyFont="1">
      <alignment horizontal="left" shrinkToFit="0" vertical="center" wrapText="1"/>
    </xf>
    <xf borderId="6" fillId="5" fontId="34" numFmtId="0" xfId="0" applyAlignment="1" applyBorder="1" applyFont="1">
      <alignment shrinkToFit="0" vertical="center" wrapText="1"/>
    </xf>
    <xf borderId="6" fillId="0" fontId="35" numFmtId="0" xfId="0" applyAlignment="1" applyBorder="1" applyFont="1">
      <alignment shrinkToFit="0" vertical="center" wrapText="1"/>
    </xf>
    <xf borderId="5" fillId="0" fontId="36" numFmtId="166" xfId="0" applyAlignment="1" applyBorder="1" applyFont="1" applyNumberFormat="1">
      <alignment horizontal="left" shrinkToFit="0" vertical="center" wrapText="1"/>
    </xf>
    <xf borderId="5" fillId="4" fontId="37" numFmtId="166" xfId="0" applyAlignment="1" applyBorder="1" applyFont="1" applyNumberFormat="1">
      <alignment horizontal="left" shrinkToFit="0" vertical="center" wrapText="1"/>
    </xf>
    <xf borderId="5" fillId="0" fontId="5" numFmtId="0" xfId="0" applyAlignment="1" applyBorder="1" applyFont="1">
      <alignment vertical="center"/>
    </xf>
    <xf borderId="5" fillId="4" fontId="15" numFmtId="0" xfId="0" applyAlignment="1" applyBorder="1" applyFont="1">
      <alignment horizontal="left" shrinkToFit="0" vertical="center" wrapText="1"/>
    </xf>
    <xf borderId="6" fillId="4" fontId="38" numFmtId="0" xfId="0" applyAlignment="1" applyBorder="1" applyFont="1">
      <alignment horizontal="left" shrinkToFit="0" vertical="center" wrapText="1"/>
    </xf>
    <xf borderId="6" fillId="4" fontId="39" numFmtId="0" xfId="0" applyAlignment="1" applyBorder="1" applyFont="1">
      <alignment shrinkToFit="0" vertical="center" wrapText="1"/>
    </xf>
    <xf borderId="6" fillId="0" fontId="5" numFmtId="0" xfId="0" applyAlignment="1" applyBorder="1" applyFont="1">
      <alignment horizontal="left" shrinkToFit="0" vertical="center" wrapText="1"/>
    </xf>
    <xf borderId="7" fillId="0" fontId="5" numFmtId="164" xfId="0" applyAlignment="1" applyBorder="1" applyFont="1" applyNumberFormat="1">
      <alignment horizontal="left" vertical="center"/>
    </xf>
    <xf borderId="6" fillId="5" fontId="40" numFmtId="0" xfId="0" applyAlignment="1" applyBorder="1" applyFont="1">
      <alignment shrinkToFit="0" wrapText="1"/>
    </xf>
    <xf borderId="6" fillId="0" fontId="41" numFmtId="0" xfId="0" applyAlignment="1" applyBorder="1" applyFont="1">
      <alignment shrinkToFit="0" wrapText="1"/>
    </xf>
    <xf borderId="6" fillId="5" fontId="42" numFmtId="0" xfId="0" applyAlignment="1" applyBorder="1" applyFont="1">
      <alignment shrinkToFit="0" wrapText="1"/>
    </xf>
    <xf borderId="7" fillId="0" fontId="5" numFmtId="0" xfId="0" applyAlignment="1" applyBorder="1" applyFont="1">
      <alignment horizontal="left" vertical="center"/>
    </xf>
    <xf borderId="5" fillId="4" fontId="43" numFmtId="165" xfId="0" applyAlignment="1" applyBorder="1" applyFont="1" applyNumberFormat="1">
      <alignment horizontal="left" shrinkToFit="0" vertical="center" wrapText="1"/>
    </xf>
    <xf borderId="5" fillId="4" fontId="44" numFmtId="0" xfId="0" applyAlignment="1" applyBorder="1" applyFont="1">
      <alignment vertical="center"/>
    </xf>
    <xf borderId="7" fillId="4" fontId="5" numFmtId="0" xfId="0" applyAlignment="1" applyBorder="1" applyFont="1">
      <alignment horizontal="left" vertical="center"/>
    </xf>
    <xf borderId="5" fillId="4" fontId="45" numFmtId="165" xfId="0" applyAlignment="1" applyBorder="1" applyFont="1" applyNumberFormat="1">
      <alignment horizontal="left" vertical="center"/>
    </xf>
    <xf borderId="5" fillId="4" fontId="46" numFmtId="166" xfId="0" applyAlignment="1" applyBorder="1" applyFont="1" applyNumberFormat="1">
      <alignment horizontal="left" vertical="center"/>
    </xf>
    <xf borderId="5" fillId="0" fontId="47" numFmtId="166" xfId="0" applyAlignment="1" applyBorder="1" applyFont="1" applyNumberFormat="1">
      <alignment horizontal="left" vertical="center"/>
    </xf>
    <xf borderId="5" fillId="0" fontId="48" numFmtId="0" xfId="0" applyAlignment="1" applyBorder="1" applyFont="1">
      <alignment vertical="center"/>
    </xf>
    <xf borderId="6" fillId="0" fontId="49" numFmtId="0" xfId="0" applyAlignment="1" applyBorder="1" applyFont="1">
      <alignment horizontal="left" shrinkToFit="0" vertical="center" wrapText="1"/>
    </xf>
    <xf borderId="6" fillId="5" fontId="5" numFmtId="0" xfId="0" applyAlignment="1" applyBorder="1" applyFont="1">
      <alignment horizontal="left" shrinkToFit="0" vertical="center" wrapText="1"/>
    </xf>
    <xf borderId="5" fillId="4" fontId="50" numFmtId="0" xfId="0" applyAlignment="1" applyBorder="1" applyFont="1">
      <alignment vertical="center"/>
    </xf>
    <xf borderId="6" fillId="2" fontId="5" numFmtId="0" xfId="0" applyAlignment="1" applyBorder="1" applyFont="1">
      <alignment horizontal="left" shrinkToFit="0" vertical="center" wrapText="1"/>
    </xf>
    <xf borderId="8" fillId="0" fontId="51" numFmtId="0" xfId="0" applyAlignment="1" applyBorder="1" applyFont="1">
      <alignment vertical="center"/>
    </xf>
    <xf borderId="9" fillId="0" fontId="52" numFmtId="0" xfId="0" applyAlignment="1" applyBorder="1" applyFont="1">
      <alignment shrinkToFit="0" wrapText="1"/>
    </xf>
    <xf borderId="9" fillId="0" fontId="5" numFmtId="0" xfId="0" applyAlignment="1" applyBorder="1" applyFont="1">
      <alignment horizontal="left" shrinkToFit="0" vertical="center" wrapText="1"/>
    </xf>
    <xf borderId="10" fillId="0" fontId="5" numFmtId="0" xfId="0" applyAlignment="1" applyBorder="1" applyFont="1">
      <alignment horizontal="left" vertical="center"/>
    </xf>
    <xf borderId="5" fillId="4" fontId="53" numFmtId="167" xfId="0" applyAlignment="1" applyBorder="1" applyFont="1" applyNumberFormat="1">
      <alignment horizontal="left" readingOrder="0" vertical="center"/>
    </xf>
    <xf borderId="6" fillId="5" fontId="54" numFmtId="0" xfId="0" applyAlignment="1" applyBorder="1" applyFont="1">
      <alignment readingOrder="0" shrinkToFit="0" vertical="center" wrapText="1"/>
    </xf>
    <xf borderId="6" fillId="4" fontId="5" numFmtId="0" xfId="0" applyAlignment="1" applyBorder="1" applyFont="1">
      <alignment horizontal="left" readingOrder="0" shrinkToFit="0" vertical="center" wrapText="1"/>
    </xf>
    <xf borderId="6" fillId="4" fontId="15" numFmtId="0" xfId="0" applyAlignment="1" applyBorder="1" applyFont="1">
      <alignment horizontal="left" readingOrder="0" shrinkToFit="0" vertical="center" wrapText="1"/>
    </xf>
    <xf borderId="7" fillId="4" fontId="5" numFmtId="0" xfId="0" applyAlignment="1" applyBorder="1" applyFont="1">
      <alignment horizontal="left" readingOrder="0" vertical="center"/>
    </xf>
    <xf borderId="8" fillId="0" fontId="55" numFmtId="167" xfId="0" applyAlignment="1" applyBorder="1" applyFont="1" applyNumberFormat="1">
      <alignment horizontal="left" readingOrder="0" vertical="center"/>
    </xf>
    <xf borderId="9" fillId="0" fontId="56" numFmtId="0" xfId="0" applyAlignment="1" applyBorder="1" applyFont="1">
      <alignment readingOrder="0" shrinkToFit="0" vertical="center" wrapText="1"/>
    </xf>
    <xf borderId="9" fillId="0" fontId="5" numFmtId="0" xfId="0" applyAlignment="1" applyBorder="1" applyFont="1">
      <alignment horizontal="left" readingOrder="0" shrinkToFit="0" vertical="center" wrapText="1"/>
    </xf>
    <xf borderId="10" fillId="0" fontId="5" numFmtId="0" xfId="0" applyAlignment="1" applyBorder="1" applyFont="1">
      <alignment horizontal="left" readingOrder="0" vertical="center"/>
    </xf>
    <xf borderId="6" fillId="5" fontId="57" numFmtId="0" xfId="0" applyAlignment="1" applyBorder="1" applyFont="1">
      <alignment readingOrder="0" shrinkToFit="0" wrapText="1"/>
    </xf>
    <xf borderId="9" fillId="0" fontId="58" numFmtId="0" xfId="0" applyAlignment="1" applyBorder="1" applyFont="1">
      <alignment readingOrder="0" shrinkToFit="0" wrapText="1"/>
    </xf>
    <xf borderId="8" fillId="0" fontId="59" numFmtId="167" xfId="0" applyAlignment="1" applyBorder="1" applyFont="1" applyNumberFormat="1">
      <alignment readingOrder="0" vertical="center"/>
    </xf>
    <xf borderId="5" fillId="4" fontId="60" numFmtId="167" xfId="0" applyAlignment="1" applyBorder="1" applyFont="1" applyNumberFormat="1">
      <alignment readingOrder="0" vertical="center"/>
    </xf>
    <xf borderId="8" fillId="0" fontId="61" numFmtId="168" xfId="0" applyAlignment="1" applyBorder="1" applyFont="1" applyNumberFormat="1">
      <alignment readingOrder="0" vertical="center"/>
    </xf>
    <xf borderId="5" fillId="4" fontId="62" numFmtId="168" xfId="0" applyAlignment="1" applyBorder="1" applyFont="1" applyNumberFormat="1">
      <alignment readingOrder="0" vertical="center"/>
    </xf>
    <xf borderId="5" fillId="4" fontId="63" numFmtId="0" xfId="0" applyAlignment="1" applyBorder="1" applyFont="1">
      <alignment readingOrder="0" vertical="center"/>
    </xf>
    <xf borderId="8" fillId="0" fontId="64" numFmtId="0" xfId="0" applyAlignment="1" applyBorder="1" applyFont="1">
      <alignment readingOrder="0" vertical="center"/>
    </xf>
    <xf borderId="9" fillId="0" fontId="65" numFmtId="0" xfId="0" applyAlignment="1" applyBorder="1" applyFont="1">
      <alignment horizontal="left" readingOrder="0" shrinkToFit="0" vertical="center" wrapText="1"/>
    </xf>
    <xf borderId="10" fillId="0" fontId="65" numFmtId="0" xfId="0" applyAlignment="1" applyBorder="1" applyFont="1">
      <alignment horizontal="left" readingOrder="0" vertical="center"/>
    </xf>
    <xf borderId="6" fillId="4" fontId="65" numFmtId="0" xfId="0" applyAlignment="1" applyBorder="1" applyFont="1">
      <alignment horizontal="left" readingOrder="0" shrinkToFit="0" vertical="center" wrapText="1"/>
    </xf>
    <xf borderId="6" fillId="4" fontId="66" numFmtId="0" xfId="0" applyAlignment="1" applyBorder="1" applyFont="1">
      <alignment horizontal="left" readingOrder="0" shrinkToFit="0" vertical="center" wrapText="1"/>
    </xf>
    <xf borderId="7" fillId="4" fontId="65" numFmtId="0" xfId="0" applyAlignment="1" applyBorder="1" applyFont="1">
      <alignment horizontal="left" readingOrder="0" vertical="center"/>
    </xf>
    <xf borderId="8" fillId="0" fontId="67" numFmtId="0" xfId="0" applyAlignment="1" applyBorder="1" applyFont="1">
      <alignment vertical="center"/>
    </xf>
    <xf borderId="9" fillId="0" fontId="5" numFmtId="0" xfId="0" applyAlignment="1" applyBorder="1" applyFont="1">
      <alignment shrinkToFit="0" wrapText="1"/>
    </xf>
    <xf borderId="5" fillId="4" fontId="67" numFmtId="0" xfId="0" applyAlignment="1" applyBorder="1" applyFont="1">
      <alignment vertical="center"/>
    </xf>
    <xf borderId="6" fillId="5" fontId="5" numFmtId="0" xfId="0" applyAlignment="1" applyBorder="1" applyFont="1">
      <alignment shrinkToFit="0" wrapText="1"/>
    </xf>
    <xf borderId="1" fillId="2" fontId="5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1" fillId="2" fontId="5" numFmtId="164" xfId="0" applyAlignment="1" applyBorder="1" applyFont="1" applyNumberForma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0" fillId="0" fontId="6" numFmtId="0" xfId="0" applyAlignment="1" applyFont="1">
      <alignment horizontal="left" vertical="top"/>
    </xf>
    <xf borderId="0" fillId="0" fontId="7" numFmtId="0" xfId="0" applyAlignment="1" applyFont="1">
      <alignment horizontal="center" vertical="top"/>
    </xf>
    <xf borderId="0" fillId="0" fontId="5" numFmtId="0" xfId="0" applyAlignment="1" applyFont="1">
      <alignment horizontal="center"/>
    </xf>
    <xf borderId="11" fillId="3" fontId="9" numFmtId="0" xfId="0" applyAlignment="1" applyBorder="1" applyFont="1">
      <alignment horizontal="left" shrinkToFit="0" wrapText="1"/>
    </xf>
    <xf borderId="11" fillId="3" fontId="10" numFmtId="0" xfId="0" applyAlignment="1" applyBorder="1" applyFont="1">
      <alignment horizontal="left" shrinkToFit="0" wrapText="1"/>
    </xf>
    <xf borderId="11" fillId="3" fontId="9" numFmtId="0" xfId="0" applyAlignment="1" applyBorder="1" applyFont="1">
      <alignment horizontal="left" shrinkToFit="0" vertical="center" wrapText="1"/>
    </xf>
    <xf borderId="1" fillId="3" fontId="11" numFmtId="0" xfId="0" applyAlignment="1" applyBorder="1" applyFont="1">
      <alignment horizontal="left" shrinkToFit="0" vertical="top" wrapText="1"/>
    </xf>
    <xf borderId="1" fillId="3" fontId="12" numFmtId="0" xfId="0" applyAlignment="1" applyBorder="1" applyFont="1">
      <alignment horizontal="left" shrinkToFit="0" vertical="center" wrapText="1"/>
    </xf>
    <xf borderId="1" fillId="3" fontId="9" numFmtId="0" xfId="0" applyAlignment="1" applyBorder="1" applyFont="1">
      <alignment horizontal="left" shrinkToFit="0" vertical="center" wrapText="1"/>
    </xf>
    <xf borderId="12" fillId="0" fontId="68" numFmtId="0" xfId="0" applyAlignment="1" applyBorder="1" applyFont="1">
      <alignment horizontal="left" shrinkToFit="0" vertical="center" wrapText="1"/>
    </xf>
    <xf borderId="13" fillId="0" fontId="5" numFmtId="0" xfId="0" applyAlignment="1" applyBorder="1" applyFont="1">
      <alignment horizontal="left" shrinkToFit="0" vertical="center" wrapText="1"/>
    </xf>
    <xf borderId="13" fillId="0" fontId="15" numFmtId="0" xfId="0" applyAlignment="1" applyBorder="1" applyFont="1">
      <alignment horizontal="left" shrinkToFit="0" vertical="center" wrapText="1"/>
    </xf>
    <xf borderId="14" fillId="0" fontId="15" numFmtId="164" xfId="0" applyAlignment="1" applyBorder="1" applyFont="1" applyNumberFormat="1">
      <alignment horizontal="left" shrinkToFit="0" vertical="center" wrapText="1"/>
    </xf>
    <xf borderId="15" fillId="4" fontId="69" numFmtId="0" xfId="0" applyAlignment="1" applyBorder="1" applyFont="1">
      <alignment horizontal="left" shrinkToFit="0" vertical="center" wrapText="1"/>
    </xf>
    <xf borderId="1" fillId="4" fontId="5" numFmtId="0" xfId="0" applyAlignment="1" applyBorder="1" applyFont="1">
      <alignment horizontal="left" shrinkToFit="0" vertical="center" wrapText="1"/>
    </xf>
    <xf borderId="1" fillId="4" fontId="15" numFmtId="0" xfId="0" applyAlignment="1" applyBorder="1" applyFont="1">
      <alignment horizontal="left" shrinkToFit="0" vertical="center" wrapText="1"/>
    </xf>
    <xf borderId="16" fillId="4" fontId="15" numFmtId="164" xfId="0" applyAlignment="1" applyBorder="1" applyFont="1" applyNumberFormat="1">
      <alignment horizontal="left" shrinkToFit="0" vertical="center" wrapText="1"/>
    </xf>
    <xf borderId="17" fillId="0" fontId="70" numFmtId="0" xfId="0" applyAlignment="1" applyBorder="1" applyFont="1">
      <alignment horizontal="left" shrinkToFit="0" vertical="center" wrapText="1"/>
    </xf>
    <xf borderId="18" fillId="0" fontId="15" numFmtId="164" xfId="0" applyAlignment="1" applyBorder="1" applyFont="1" applyNumberFormat="1">
      <alignment horizontal="left" shrinkToFit="0" vertical="center" wrapText="1"/>
    </xf>
    <xf borderId="18" fillId="0" fontId="15" numFmtId="0" xfId="0" applyAlignment="1" applyBorder="1" applyFont="1">
      <alignment horizontal="left" shrinkToFit="0" vertical="center" wrapText="1"/>
    </xf>
    <xf borderId="15" fillId="7" fontId="71" numFmtId="0" xfId="0" applyAlignment="1" applyBorder="1" applyFill="1" applyFont="1">
      <alignment horizontal="left" shrinkToFit="0" vertical="center" wrapText="1"/>
    </xf>
    <xf borderId="1" fillId="7" fontId="5" numFmtId="0" xfId="0" applyAlignment="1" applyBorder="1" applyFont="1">
      <alignment horizontal="left" shrinkToFit="0" vertical="center" wrapText="1"/>
    </xf>
    <xf borderId="1" fillId="7" fontId="15" numFmtId="0" xfId="0" applyAlignment="1" applyBorder="1" applyFont="1">
      <alignment horizontal="left" shrinkToFit="0" vertical="center" wrapText="1"/>
    </xf>
    <xf borderId="16" fillId="7" fontId="15" numFmtId="0" xfId="0" applyAlignment="1" applyBorder="1" applyFont="1">
      <alignment horizontal="left" shrinkToFit="0" vertical="center" wrapText="1"/>
    </xf>
    <xf borderId="1" fillId="7" fontId="15" numFmtId="0" xfId="0" applyAlignment="1" applyBorder="1" applyFont="1">
      <alignment shrinkToFit="0" vertical="center" wrapText="1"/>
    </xf>
    <xf borderId="1" fillId="7" fontId="5" numFmtId="0" xfId="0" applyAlignment="1" applyBorder="1" applyFont="1">
      <alignment horizontal="left" shrinkToFit="0" vertical="top" wrapText="1"/>
    </xf>
    <xf borderId="1" fillId="7" fontId="5" numFmtId="0" xfId="0" applyAlignment="1" applyBorder="1" applyFont="1">
      <alignment shrinkToFit="0" wrapText="1"/>
    </xf>
    <xf borderId="1" fillId="7" fontId="5" numFmtId="0" xfId="0" applyAlignment="1" applyBorder="1" applyFont="1">
      <alignment shrinkToFit="0" vertical="center" wrapText="1"/>
    </xf>
    <xf borderId="19" fillId="4" fontId="72" numFmtId="0" xfId="0" applyAlignment="1" applyBorder="1" applyFont="1">
      <alignment horizontal="left" shrinkToFit="0" vertical="center" wrapText="1"/>
    </xf>
    <xf borderId="20" fillId="4" fontId="5" numFmtId="0" xfId="0" applyAlignment="1" applyBorder="1" applyFont="1">
      <alignment horizontal="left" shrinkToFit="0" vertical="center" wrapText="1"/>
    </xf>
    <xf borderId="20" fillId="4" fontId="15" numFmtId="0" xfId="0" applyAlignment="1" applyBorder="1" applyFont="1">
      <alignment horizontal="left" shrinkToFit="0" vertical="center" wrapText="1"/>
    </xf>
    <xf borderId="11" fillId="4" fontId="15" numFmtId="0" xfId="0" applyAlignment="1" applyBorder="1" applyFont="1">
      <alignment horizontal="left" shrinkToFit="0" vertical="center" wrapText="1"/>
    </xf>
    <xf borderId="21" fillId="4" fontId="15" numFmtId="164" xfId="0" applyAlignment="1" applyBorder="1" applyFont="1" applyNumberFormat="1">
      <alignment horizontal="left" shrinkToFit="0" vertical="center" wrapText="1"/>
    </xf>
    <xf borderId="16" fillId="4" fontId="15" numFmtId="0" xfId="0" applyAlignment="1" applyBorder="1" applyFont="1">
      <alignment horizontal="left" vertical="center"/>
    </xf>
    <xf borderId="17" fillId="0" fontId="73" numFmtId="0" xfId="0" applyBorder="1" applyFont="1"/>
    <xf borderId="1" fillId="7" fontId="15" numFmtId="0" xfId="0" applyAlignment="1" applyBorder="1" applyFont="1">
      <alignment vertical="center"/>
    </xf>
    <xf borderId="15" fillId="7" fontId="5" numFmtId="0" xfId="0" applyAlignment="1" applyBorder="1" applyFont="1">
      <alignment horizontal="left" shrinkToFit="0" vertical="center" wrapText="1"/>
    </xf>
    <xf borderId="1" fillId="7" fontId="5" numFmtId="0" xfId="0" applyAlignment="1" applyBorder="1" applyFont="1">
      <alignment horizontal="left" shrinkToFit="0" wrapText="1"/>
    </xf>
    <xf borderId="22" fillId="7" fontId="5" numFmtId="0" xfId="0" applyAlignment="1" applyBorder="1" applyFont="1">
      <alignment horizontal="left" shrinkToFit="0" vertical="center" wrapText="1"/>
    </xf>
    <xf borderId="23" fillId="7" fontId="5" numFmtId="0" xfId="0" applyAlignment="1" applyBorder="1" applyFont="1">
      <alignment horizontal="left" shrinkToFit="0" vertical="top" wrapText="1"/>
    </xf>
    <xf borderId="23" fillId="7" fontId="5" numFmtId="0" xfId="0" applyAlignment="1" applyBorder="1" applyFont="1">
      <alignment horizontal="left" shrinkToFit="0" vertical="center" wrapText="1"/>
    </xf>
    <xf borderId="23" fillId="7" fontId="15" numFmtId="0" xfId="0" applyAlignment="1" applyBorder="1" applyFont="1">
      <alignment horizontal="left" shrinkToFit="0" vertical="center" wrapText="1"/>
    </xf>
    <xf borderId="24" fillId="7" fontId="5" numFmtId="0" xfId="0" applyAlignment="1" applyBorder="1" applyFont="1">
      <alignment horizontal="left" vertical="center"/>
    </xf>
    <xf borderId="1" fillId="7" fontId="5" numFmtId="0" xfId="0" applyAlignment="1" applyBorder="1" applyFont="1">
      <alignment vertical="center"/>
    </xf>
    <xf borderId="1" fillId="4" fontId="74" numFmtId="0" xfId="0" applyAlignment="1" applyBorder="1" applyFont="1">
      <alignment horizontal="left" shrinkToFit="0" vertical="center" wrapText="1"/>
    </xf>
    <xf borderId="1" fillId="4" fontId="15" numFmtId="164" xfId="0" applyAlignment="1" applyBorder="1" applyFont="1" applyNumberFormat="1">
      <alignment horizontal="left" shrinkToFit="0" vertical="center" wrapText="1"/>
    </xf>
    <xf borderId="0" fillId="0" fontId="75" numFmtId="0" xfId="0" applyAlignment="1" applyFont="1">
      <alignment horizontal="left" shrinkToFit="0" vertical="center" wrapText="1"/>
    </xf>
    <xf borderId="0" fillId="0" fontId="15" numFmtId="164" xfId="0" applyAlignment="1" applyFont="1" applyNumberFormat="1">
      <alignment horizontal="left" shrinkToFit="0" vertical="center" wrapText="1"/>
    </xf>
    <xf borderId="1" fillId="8" fontId="5" numFmtId="0" xfId="0" applyAlignment="1" applyBorder="1" applyFill="1" applyFont="1">
      <alignment vertical="center"/>
    </xf>
    <xf borderId="1" fillId="8" fontId="5" numFmtId="0" xfId="0" applyAlignment="1" applyBorder="1" applyFont="1">
      <alignment horizontal="left" shrinkToFit="0" vertical="center" wrapText="1"/>
    </xf>
    <xf borderId="1" fillId="8" fontId="15" numFmtId="0" xfId="0" applyAlignment="1" applyBorder="1" applyFont="1">
      <alignment horizontal="left" shrinkToFit="0" vertical="center" wrapText="1"/>
    </xf>
    <xf borderId="1" fillId="8" fontId="15" numFmtId="164" xfId="0" applyAlignment="1" applyBorder="1" applyFont="1" applyNumberFormat="1">
      <alignment horizontal="left" shrinkToFit="0" vertical="center" wrapText="1"/>
    </xf>
    <xf borderId="1" fillId="8" fontId="15" numFmtId="0" xfId="0" applyAlignment="1" applyBorder="1" applyFont="1">
      <alignment vertical="center"/>
    </xf>
    <xf borderId="1" fillId="8" fontId="15" numFmtId="0" xfId="0" applyBorder="1" applyFont="1"/>
    <xf borderId="0" fillId="0" fontId="76" numFmtId="0" xfId="0" applyFont="1"/>
    <xf borderId="15" fillId="8" fontId="77" numFmtId="0" xfId="0" applyAlignment="1" applyBorder="1" applyFont="1">
      <alignment horizontal="left" shrinkToFit="0" vertical="center" wrapText="1"/>
    </xf>
    <xf borderId="16" fillId="8" fontId="15" numFmtId="164" xfId="0" applyAlignment="1" applyBorder="1" applyFont="1" applyNumberFormat="1">
      <alignment horizontal="left" shrinkToFit="0" vertical="center" wrapText="1"/>
    </xf>
    <xf borderId="1" fillId="8" fontId="15" numFmtId="0" xfId="0" applyAlignment="1" applyBorder="1" applyFont="1">
      <alignment shrinkToFit="0" vertical="center" wrapText="1"/>
    </xf>
    <xf borderId="15" fillId="8" fontId="15" numFmtId="0" xfId="0" applyAlignment="1" applyBorder="1" applyFont="1">
      <alignment horizontal="left" shrinkToFit="0" vertical="center" wrapText="1"/>
    </xf>
    <xf borderId="16" fillId="8" fontId="15" numFmtId="0" xfId="0" applyAlignment="1" applyBorder="1" applyFont="1">
      <alignment horizontal="left" shrinkToFit="0" vertical="center" wrapText="1"/>
    </xf>
    <xf borderId="16" fillId="4" fontId="15" numFmtId="0" xfId="0" applyAlignment="1" applyBorder="1" applyFont="1">
      <alignment horizontal="left" shrinkToFit="0" vertical="center" wrapText="1"/>
    </xf>
    <xf borderId="22" fillId="8" fontId="5" numFmtId="0" xfId="0" applyAlignment="1" applyBorder="1" applyFont="1">
      <alignment horizontal="left" shrinkToFit="0" vertical="center" wrapText="1"/>
    </xf>
    <xf borderId="23" fillId="8" fontId="5" numFmtId="0" xfId="0" applyAlignment="1" applyBorder="1" applyFont="1">
      <alignment horizontal="left" shrinkToFit="0" vertical="top" wrapText="1"/>
    </xf>
    <xf borderId="23" fillId="8" fontId="5" numFmtId="0" xfId="0" applyAlignment="1" applyBorder="1" applyFont="1">
      <alignment horizontal="left" shrinkToFit="0" vertical="center" wrapText="1"/>
    </xf>
    <xf borderId="24" fillId="8" fontId="5" numFmtId="0" xfId="0" applyAlignment="1" applyBorder="1" applyFont="1">
      <alignment horizontal="left" vertical="center"/>
    </xf>
    <xf borderId="1" fillId="8" fontId="15" numFmtId="0" xfId="0" applyAlignment="1" applyBorder="1" applyFont="1">
      <alignment shrinkToFit="0" wrapText="1"/>
    </xf>
    <xf borderId="1" fillId="4" fontId="15" numFmtId="0" xfId="0" applyBorder="1" applyFont="1"/>
    <xf borderId="1" fillId="8" fontId="15" numFmtId="0" xfId="0" applyAlignment="1" applyBorder="1" applyFont="1">
      <alignment horizontal="left" vertical="center"/>
    </xf>
    <xf borderId="22" fillId="8" fontId="78" numFmtId="0" xfId="0" applyAlignment="1" applyBorder="1" applyFont="1">
      <alignment horizontal="left" shrinkToFit="0" vertical="center" wrapText="1"/>
    </xf>
    <xf borderId="23" fillId="8" fontId="15" numFmtId="0" xfId="0" applyAlignment="1" applyBorder="1" applyFont="1">
      <alignment horizontal="left" shrinkToFit="0" vertical="center" wrapText="1"/>
    </xf>
    <xf borderId="24" fillId="8" fontId="15" numFmtId="0" xfId="0" applyAlignment="1" applyBorder="1" applyFont="1">
      <alignment horizontal="left" shrinkToFit="0" vertical="center" wrapText="1"/>
    </xf>
    <xf borderId="1" fillId="2" fontId="15" numFmtId="0" xfId="0" applyAlignment="1" applyBorder="1" applyFont="1">
      <alignment vertical="center"/>
    </xf>
    <xf borderId="22" fillId="8" fontId="15" numFmtId="0" xfId="0" applyAlignment="1" applyBorder="1" applyFont="1">
      <alignment horizontal="left" shrinkToFit="0" vertical="center" wrapText="1"/>
    </xf>
    <xf borderId="24" fillId="8" fontId="15" numFmtId="164" xfId="0" applyAlignment="1" applyBorder="1" applyFont="1" applyNumberFormat="1">
      <alignment horizontal="left" shrinkToFit="0" vertical="center" wrapText="1"/>
    </xf>
    <xf borderId="17" fillId="0" fontId="5" numFmtId="0" xfId="0" applyBorder="1" applyFont="1"/>
    <xf borderId="15" fillId="4" fontId="15" numFmtId="0" xfId="0" applyAlignment="1" applyBorder="1" applyFont="1">
      <alignment horizontal="left" shrinkToFit="0" vertical="center" wrapText="1"/>
    </xf>
    <xf borderId="17" fillId="0" fontId="15" numFmtId="0" xfId="0" applyAlignment="1" applyBorder="1" applyFont="1">
      <alignment horizontal="left" shrinkToFit="0" vertical="center" wrapText="1"/>
    </xf>
    <xf borderId="25" fillId="0" fontId="79" numFmtId="0" xfId="0" applyAlignment="1" applyBorder="1" applyFont="1">
      <alignment horizontal="left" shrinkToFit="0" vertical="center" wrapText="1"/>
    </xf>
    <xf borderId="26" fillId="0" fontId="5" numFmtId="0" xfId="0" applyAlignment="1" applyBorder="1" applyFont="1">
      <alignment horizontal="left" shrinkToFit="0" vertical="center" wrapText="1"/>
    </xf>
    <xf borderId="26" fillId="0" fontId="15" numFmtId="0" xfId="0" applyAlignment="1" applyBorder="1" applyFont="1">
      <alignment horizontal="left" shrinkToFit="0" vertical="center" wrapText="1"/>
    </xf>
    <xf borderId="27" fillId="0" fontId="15" numFmtId="164" xfId="0" applyAlignment="1" applyBorder="1" applyFont="1" applyNumberFormat="1">
      <alignment horizontal="left" shrinkToFit="0" vertical="center" wrapText="1"/>
    </xf>
    <xf borderId="22" fillId="4" fontId="80" numFmtId="0" xfId="0" applyAlignment="1" applyBorder="1" applyFont="1">
      <alignment horizontal="left" shrinkToFit="0" vertical="center" wrapText="1"/>
    </xf>
    <xf borderId="23" fillId="4" fontId="5" numFmtId="0" xfId="0" applyAlignment="1" applyBorder="1" applyFont="1">
      <alignment horizontal="left" shrinkToFit="0" vertical="center" wrapText="1"/>
    </xf>
    <xf borderId="23" fillId="4" fontId="15" numFmtId="0" xfId="0" applyAlignment="1" applyBorder="1" applyFont="1">
      <alignment horizontal="left" shrinkToFit="0" vertical="center" wrapText="1"/>
    </xf>
    <xf borderId="24" fillId="4" fontId="15" numFmtId="164" xfId="0" applyAlignment="1" applyBorder="1" applyFont="1" applyNumberFormat="1">
      <alignment horizontal="left" shrinkToFit="0" vertical="center" wrapText="1"/>
    </xf>
    <xf borderId="1" fillId="4" fontId="15" numFmtId="0" xfId="0" applyAlignment="1" applyBorder="1" applyFont="1">
      <alignment vertical="center"/>
    </xf>
    <xf borderId="13" fillId="0" fontId="81" numFmtId="0" xfId="0" applyAlignment="1" applyBorder="1" applyFont="1">
      <alignment horizontal="left" shrinkToFit="0" vertical="center" wrapText="1"/>
    </xf>
    <xf borderId="1" fillId="4" fontId="82" numFmtId="0" xfId="0" applyAlignment="1" applyBorder="1" applyFont="1">
      <alignment horizontal="left" shrinkToFit="0" vertical="center" wrapText="1"/>
    </xf>
    <xf borderId="0" fillId="0" fontId="83" numFmtId="0" xfId="0" applyFont="1"/>
    <xf borderId="0" fillId="0" fontId="84" numFmtId="0" xfId="0" applyAlignment="1" applyFont="1">
      <alignment shrinkToFit="0" wrapText="1"/>
    </xf>
    <xf borderId="23" fillId="4" fontId="85" numFmtId="0" xfId="0" applyAlignment="1" applyBorder="1" applyFont="1">
      <alignment horizontal="left" shrinkToFit="0" vertical="center" wrapText="1"/>
    </xf>
    <xf borderId="14" fillId="0" fontId="5" numFmtId="164" xfId="0" applyAlignment="1" applyBorder="1" applyFont="1" applyNumberFormat="1">
      <alignment horizontal="left" vertical="center"/>
    </xf>
    <xf borderId="1" fillId="4" fontId="86" numFmtId="0" xfId="0" applyAlignment="1" applyBorder="1" applyFont="1">
      <alignment shrinkToFit="0" wrapText="1"/>
    </xf>
    <xf borderId="18" fillId="0" fontId="5" numFmtId="164" xfId="0" applyAlignment="1" applyBorder="1" applyFont="1" applyNumberFormat="1">
      <alignment horizontal="left" vertical="center"/>
    </xf>
    <xf borderId="12" fillId="0" fontId="87" numFmtId="0" xfId="0" applyAlignment="1" applyBorder="1" applyFont="1">
      <alignment vertical="center"/>
    </xf>
    <xf borderId="13" fillId="0" fontId="88" numFmtId="0" xfId="0" applyAlignment="1" applyBorder="1" applyFont="1">
      <alignment shrinkToFit="0" vertical="center" wrapText="1"/>
    </xf>
    <xf borderId="14" fillId="0" fontId="5" numFmtId="0" xfId="0" applyAlignment="1" applyBorder="1" applyFont="1">
      <alignment horizontal="left" vertical="center"/>
    </xf>
    <xf borderId="0" fillId="0" fontId="5" numFmtId="0" xfId="0" applyAlignment="1" applyFont="1">
      <alignment horizontal="left" shrinkToFit="0" vertical="top" wrapText="1"/>
    </xf>
    <xf borderId="18" fillId="0" fontId="5" numFmtId="0" xfId="0" applyAlignment="1" applyBorder="1" applyFont="1">
      <alignment horizontal="left" vertical="center"/>
    </xf>
    <xf borderId="15" fillId="4" fontId="89" numFmtId="0" xfId="0" applyBorder="1" applyFont="1"/>
    <xf borderId="16" fillId="4" fontId="5" numFmtId="0" xfId="0" applyAlignment="1" applyBorder="1" applyFont="1">
      <alignment horizontal="left" vertical="center"/>
    </xf>
    <xf borderId="1" fillId="4" fontId="5" numFmtId="0" xfId="0" applyAlignment="1" applyBorder="1" applyFont="1">
      <alignment horizontal="left" shrinkToFit="0" vertical="top" wrapText="1"/>
    </xf>
    <xf borderId="0" fillId="0" fontId="5" numFmtId="0" xfId="0" applyAlignment="1" applyFont="1">
      <alignment shrinkToFit="0" wrapText="1"/>
    </xf>
    <xf borderId="17" fillId="0" fontId="90" numFmtId="0" xfId="0" applyAlignment="1" applyBorder="1" applyFont="1">
      <alignment vertical="center"/>
    </xf>
    <xf borderId="0" fillId="0" fontId="5" numFmtId="0" xfId="0" applyAlignment="1" applyFont="1">
      <alignment vertical="center"/>
    </xf>
    <xf borderId="1" fillId="4" fontId="91" numFmtId="0" xfId="0" applyAlignment="1" applyBorder="1" applyFont="1">
      <alignment horizontal="left" shrinkToFit="0" vertical="top" wrapText="1"/>
    </xf>
    <xf borderId="25" fillId="0" fontId="92" numFmtId="0" xfId="0" applyBorder="1" applyFont="1"/>
    <xf borderId="26" fillId="0" fontId="5" numFmtId="0" xfId="0" applyAlignment="1" applyBorder="1" applyFont="1">
      <alignment horizontal="left" shrinkToFit="0" vertical="top" wrapText="1"/>
    </xf>
    <xf borderId="27" fillId="0" fontId="5" numFmtId="0" xfId="0" applyAlignment="1" applyBorder="1" applyFont="1">
      <alignment horizontal="left" vertical="center"/>
    </xf>
    <xf borderId="0" fillId="0" fontId="93" numFmtId="0" xfId="0" applyAlignment="1" applyFont="1">
      <alignment horizontal="left" shrinkToFit="0" vertical="top" wrapText="1"/>
    </xf>
    <xf borderId="1" fillId="2" fontId="5" numFmtId="0" xfId="0" applyAlignment="1" applyBorder="1" applyFont="1">
      <alignment horizontal="left" shrinkToFit="0" vertical="top" wrapText="1"/>
    </xf>
    <xf borderId="26" fillId="0" fontId="94" numFmtId="0" xfId="0" applyAlignment="1" applyBorder="1" applyFont="1">
      <alignment horizontal="left" shrinkToFit="0" vertical="top" wrapText="1"/>
    </xf>
    <xf borderId="0" fillId="0" fontId="5" numFmtId="0" xfId="0" applyAlignment="1" applyFont="1">
      <alignment horizontal="left" vertical="center"/>
    </xf>
    <xf borderId="1" fillId="2" fontId="5" numFmtId="164" xfId="0" applyAlignment="1" applyBorder="1" applyFont="1" applyNumberFormat="1">
      <alignment horizontal="center"/>
    </xf>
    <xf borderId="0" fillId="0" fontId="5" numFmtId="164" xfId="0" applyAlignment="1" applyFont="1" applyNumberFormat="1">
      <alignment horizontal="center"/>
    </xf>
    <xf borderId="1" fillId="9" fontId="95" numFmtId="0" xfId="0" applyBorder="1" applyFill="1" applyFont="1"/>
    <xf borderId="1" fillId="9" fontId="5" numFmtId="0" xfId="0" applyBorder="1" applyFont="1"/>
    <xf borderId="28" fillId="0" fontId="1" numFmtId="0" xfId="0" applyAlignment="1" applyBorder="1" applyFont="1">
      <alignment horizontal="center" vertical="top"/>
    </xf>
    <xf borderId="28" fillId="0" fontId="96" numFmtId="0" xfId="0" applyBorder="1" applyFont="1"/>
    <xf borderId="0" fillId="0" fontId="97" numFmtId="0" xfId="0" applyAlignment="1" applyFont="1">
      <alignment horizontal="left" vertical="top"/>
    </xf>
    <xf borderId="0" fillId="0" fontId="98" numFmtId="0" xfId="0" applyAlignment="1" applyFont="1">
      <alignment vertical="top"/>
    </xf>
    <xf borderId="0" fillId="0" fontId="15" numFmtId="0" xfId="0" applyAlignment="1" applyFont="1">
      <alignment horizontal="center"/>
    </xf>
    <xf borderId="11" fillId="3" fontId="10" numFmtId="0" xfId="0" applyAlignment="1" applyBorder="1" applyFont="1">
      <alignment horizontal="left" shrinkToFit="0" vertical="center" wrapText="1"/>
    </xf>
    <xf borderId="29" fillId="3" fontId="9" numFmtId="0" xfId="0" applyAlignment="1" applyBorder="1" applyFont="1">
      <alignment horizontal="left" shrinkToFit="0" vertical="center" wrapText="1"/>
    </xf>
    <xf borderId="29" fillId="4" fontId="9" numFmtId="0" xfId="0" applyAlignment="1" applyBorder="1" applyFont="1">
      <alignment horizontal="left" shrinkToFit="0" vertical="center" wrapText="1"/>
    </xf>
    <xf borderId="30" fillId="4" fontId="11" numFmtId="0" xfId="0" applyAlignment="1" applyBorder="1" applyFont="1">
      <alignment horizontal="left" shrinkToFit="0" vertical="top" wrapText="1"/>
    </xf>
    <xf borderId="30" fillId="4" fontId="12" numFmtId="0" xfId="0" applyAlignment="1" applyBorder="1" applyFont="1">
      <alignment horizontal="left" shrinkToFit="0" vertical="center" wrapText="1"/>
    </xf>
    <xf borderId="31" fillId="0" fontId="96" numFmtId="0" xfId="0" applyBorder="1" applyFont="1"/>
    <xf borderId="0" fillId="0" fontId="12" numFmtId="0" xfId="0" applyAlignment="1" applyFont="1">
      <alignment horizontal="left" shrinkToFit="0" vertical="center" wrapText="1"/>
    </xf>
    <xf borderId="0" fillId="0" fontId="9" numFmtId="0" xfId="0" applyAlignment="1" applyFont="1">
      <alignment horizontal="left" shrinkToFit="0" vertical="center" wrapText="1"/>
    </xf>
    <xf borderId="1" fillId="4" fontId="11" numFmtId="0" xfId="0" applyAlignment="1" applyBorder="1" applyFont="1">
      <alignment horizontal="left" shrinkToFit="0" vertical="top" wrapText="1"/>
    </xf>
    <xf borderId="1" fillId="4" fontId="12" numFmtId="0" xfId="0" applyAlignment="1" applyBorder="1" applyFont="1">
      <alignment horizontal="left" shrinkToFit="0" vertical="center" wrapText="1"/>
    </xf>
    <xf borderId="0" fillId="0" fontId="11" numFmtId="0" xfId="0" applyAlignment="1" applyFont="1">
      <alignment horizontal="left" shrinkToFit="0" vertical="center" wrapText="1"/>
    </xf>
    <xf borderId="1" fillId="4" fontId="99" numFmtId="0" xfId="0" applyAlignment="1" applyBorder="1" applyFont="1">
      <alignment horizontal="left" shrinkToFit="0" vertical="center" wrapText="1"/>
    </xf>
    <xf borderId="0" fillId="0" fontId="99" numFmtId="0" xfId="0" applyAlignment="1" applyFont="1">
      <alignment horizontal="left" shrinkToFit="0" vertical="center" wrapText="1"/>
    </xf>
    <xf borderId="1" fillId="2" fontId="95" numFmtId="0" xfId="0" applyAlignment="1" applyBorder="1" applyFont="1">
      <alignment horizontal="center" shrinkToFit="0" vertical="center" wrapText="1"/>
    </xf>
    <xf borderId="1" fillId="4" fontId="100" numFmtId="0" xfId="0" applyAlignment="1" applyBorder="1" applyFont="1">
      <alignment horizontal="left" shrinkToFit="0" vertical="center" wrapText="1"/>
    </xf>
    <xf borderId="0" fillId="0" fontId="101" numFmtId="0" xfId="0" applyAlignment="1" applyFont="1">
      <alignment horizontal="left" shrinkToFit="0" vertical="center" wrapText="1"/>
    </xf>
    <xf borderId="0" fillId="0" fontId="102" numFmtId="0" xfId="0" applyAlignment="1" applyFont="1">
      <alignment horizontal="left" shrinkToFit="0" vertical="center" wrapText="1"/>
    </xf>
    <xf borderId="0" fillId="0" fontId="103" numFmtId="0" xfId="0" applyFont="1"/>
    <xf borderId="32" fillId="3" fontId="9" numFmtId="0" xfId="0" applyAlignment="1" applyBorder="1" applyFont="1">
      <alignment horizontal="center" shrinkToFit="0" wrapText="1"/>
    </xf>
    <xf borderId="33" fillId="3" fontId="9" numFmtId="0" xfId="0" applyAlignment="1" applyBorder="1" applyFont="1">
      <alignment horizontal="center" shrinkToFit="0" wrapText="1"/>
    </xf>
    <xf borderId="0" fillId="0" fontId="15" numFmtId="0" xfId="0" applyAlignment="1" applyFont="1">
      <alignment horizontal="left" shrinkToFit="0" wrapText="1"/>
    </xf>
    <xf borderId="0" fillId="0" fontId="15" numFmtId="0" xfId="0" applyAlignment="1" applyFont="1">
      <alignment horizontal="left"/>
    </xf>
    <xf borderId="30" fillId="3" fontId="11" numFmtId="0" xfId="0" applyAlignment="1" applyBorder="1" applyFont="1">
      <alignment horizontal="left" shrinkToFit="0" vertical="top" wrapText="1"/>
    </xf>
    <xf borderId="30" fillId="3" fontId="9" numFmtId="0" xfId="0" applyAlignment="1" applyBorder="1" applyFont="1">
      <alignment horizontal="left" shrinkToFit="0" vertical="center" wrapText="1"/>
    </xf>
    <xf borderId="0" fillId="0" fontId="104" numFmtId="164" xfId="0" applyAlignment="1" applyFont="1" applyNumberForma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0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1047750</xdr:colOff>
      <xdr:row>0</xdr:row>
      <xdr:rowOff>295275</xdr:rowOff>
    </xdr:from>
    <xdr:ext cx="6934200" cy="857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76200</xdr:rowOff>
    </xdr:from>
    <xdr:ext cx="657225" cy="704850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76200</xdr:colOff>
      <xdr:row>0</xdr:row>
      <xdr:rowOff>114300</xdr:rowOff>
    </xdr:from>
    <xdr:ext cx="581025" cy="647700"/>
    <xdr:pic>
      <xdr:nvPicPr>
        <xdr:cNvPr id="0" name="image3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1047750</xdr:colOff>
      <xdr:row>0</xdr:row>
      <xdr:rowOff>295275</xdr:rowOff>
    </xdr:from>
    <xdr:ext cx="6934200" cy="857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76200</xdr:rowOff>
    </xdr:from>
    <xdr:ext cx="657225" cy="704850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76200</xdr:colOff>
      <xdr:row>0</xdr:row>
      <xdr:rowOff>114300</xdr:rowOff>
    </xdr:from>
    <xdr:ext cx="581025" cy="647700"/>
    <xdr:pic>
      <xdr:nvPicPr>
        <xdr:cNvPr id="0" name="image3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1047750</xdr:colOff>
      <xdr:row>0</xdr:row>
      <xdr:rowOff>295275</xdr:rowOff>
    </xdr:from>
    <xdr:ext cx="6934200" cy="857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76200</xdr:rowOff>
    </xdr:from>
    <xdr:ext cx="666750" cy="704850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76200</xdr:colOff>
      <xdr:row>0</xdr:row>
      <xdr:rowOff>114300</xdr:rowOff>
    </xdr:from>
    <xdr:ext cx="581025" cy="647700"/>
    <xdr:pic>
      <xdr:nvPicPr>
        <xdr:cNvPr id="0" name="image3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6924675" cy="5715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drive.google.com/file/d/0B9a5BtXYBva5NmJEbHVsTV9zN1k/view?usp=sharing" TargetMode="External"/><Relationship Id="rId194" Type="http://schemas.openxmlformats.org/officeDocument/2006/relationships/hyperlink" Target="https://drive.google.com/file/d/0B9a5BtXYBva5dUJaak9RVVBMLVE/view?usp=sharing" TargetMode="External"/><Relationship Id="rId193" Type="http://schemas.openxmlformats.org/officeDocument/2006/relationships/hyperlink" Target="https://drive.google.com/file/d/0B9a5BtXYBva5c0JtQ3A0akROcEE/view?usp=sharing" TargetMode="External"/><Relationship Id="rId192" Type="http://schemas.openxmlformats.org/officeDocument/2006/relationships/hyperlink" Target="https://drive.google.com/file/d/0B9a5BtXYBva5ekJNekxrTkZqb2c/view?usp=sharing" TargetMode="External"/><Relationship Id="rId191" Type="http://schemas.openxmlformats.org/officeDocument/2006/relationships/hyperlink" Target="https://drive.google.com/file/d/0B9a5BtXYBva5ZW1ULWwzVElvaVU/view?usp=sharing" TargetMode="External"/><Relationship Id="rId187" Type="http://schemas.openxmlformats.org/officeDocument/2006/relationships/hyperlink" Target="https://drive.google.com/file/d/0B9a5BtXYBva5akJ5VTBQMjYxcFk/view?usp=sharing" TargetMode="External"/><Relationship Id="rId186" Type="http://schemas.openxmlformats.org/officeDocument/2006/relationships/hyperlink" Target="https://drive.google.com/file/d/0B9a5BtXYBva5REN4OGJqWG1UN1k/view?usp=sharing" TargetMode="External"/><Relationship Id="rId185" Type="http://schemas.openxmlformats.org/officeDocument/2006/relationships/hyperlink" Target="https://drive.google.com/file/d/0B9a5BtXYBva5TEdwTTlJdGRUaVU/view?usp=sharing" TargetMode="External"/><Relationship Id="rId184" Type="http://schemas.openxmlformats.org/officeDocument/2006/relationships/hyperlink" Target="https://drive.google.com/file/d/0B9a5BtXYBva5X2V1dUR5WU02dGM/view?usp=sharing" TargetMode="External"/><Relationship Id="rId189" Type="http://schemas.openxmlformats.org/officeDocument/2006/relationships/hyperlink" Target="https://drive.google.com/file/d/0B9a5BtXYBva5Z2M4Yks0UGs4Zms/view?usp=sharing" TargetMode="External"/><Relationship Id="rId188" Type="http://schemas.openxmlformats.org/officeDocument/2006/relationships/hyperlink" Target="https://drive.google.com/file/d/0B9a5BtXYBva5TDFodHdidEVheUk/view?usp=sharing" TargetMode="External"/><Relationship Id="rId183" Type="http://schemas.openxmlformats.org/officeDocument/2006/relationships/hyperlink" Target="https://drive.google.com/file/d/0B9a5BtXYBva5ZWx6N3h6dzBKMzA/view?usp=sharing" TargetMode="External"/><Relationship Id="rId182" Type="http://schemas.openxmlformats.org/officeDocument/2006/relationships/hyperlink" Target="https://drive.google.com/file/d/0B9a5BtXYBva5Sm5qN0R3Q1dNUFk/view?usp=sharing" TargetMode="External"/><Relationship Id="rId181" Type="http://schemas.openxmlformats.org/officeDocument/2006/relationships/hyperlink" Target="https://drive.google.com/file/d/0B9a5BtXYBva5MFBpUzJsd3RycXc/view?usp=sharing" TargetMode="External"/><Relationship Id="rId180" Type="http://schemas.openxmlformats.org/officeDocument/2006/relationships/hyperlink" Target="https://drive.google.com/file/d/0B9a5BtXYBva5c1BnTXN4VjhZQms/view?usp=sharing" TargetMode="External"/><Relationship Id="rId176" Type="http://schemas.openxmlformats.org/officeDocument/2006/relationships/hyperlink" Target="https://drive.google.com/file/d/0B9a5BtXYBva5bmF5dmF1SU84RTg/view?usp=sharing" TargetMode="External"/><Relationship Id="rId297" Type="http://schemas.openxmlformats.org/officeDocument/2006/relationships/hyperlink" Target="https://drive.google.com/file/d/0B9a5BtXYBva5T0FXeVVNVWVzNzQ/view?usp=sharing" TargetMode="External"/><Relationship Id="rId175" Type="http://schemas.openxmlformats.org/officeDocument/2006/relationships/hyperlink" Target="https://drive.google.com/open?id=11tgxoMILixi16JnVyAWtCwVFk7LNp2WR" TargetMode="External"/><Relationship Id="rId296" Type="http://schemas.openxmlformats.org/officeDocument/2006/relationships/hyperlink" Target="https://drive.google.com/file/d/0B9a5BtXYBva5d0R6cTAxRzZuME0/view?usp=sharing" TargetMode="External"/><Relationship Id="rId174" Type="http://schemas.openxmlformats.org/officeDocument/2006/relationships/hyperlink" Target="https://drive.google.com/file/d/0B9a5BtXYBva5SkdoSnhDNFZqcWs/view?usp=sharing" TargetMode="External"/><Relationship Id="rId295" Type="http://schemas.openxmlformats.org/officeDocument/2006/relationships/hyperlink" Target="https://drive.google.com/file/d/0B9a5BtXYBva5MXpmdGJBejVkWkE/view?usp=sharing" TargetMode="External"/><Relationship Id="rId173" Type="http://schemas.openxmlformats.org/officeDocument/2006/relationships/hyperlink" Target="https://drive.google.com/file/d/0B9a5BtXYBva5MVljdzZhcG15Njg/view?usp=sharing" TargetMode="External"/><Relationship Id="rId294" Type="http://schemas.openxmlformats.org/officeDocument/2006/relationships/hyperlink" Target="https://drive.google.com/file/d/0B9a5BtXYBva5MXJBMWQ2QVlQQ2c/view?usp=sharing" TargetMode="External"/><Relationship Id="rId179" Type="http://schemas.openxmlformats.org/officeDocument/2006/relationships/hyperlink" Target="https://drive.google.com/file/d/0B9a5BtXYBva5ZTNLSUpRd0RqSEE/view?usp=sharing" TargetMode="External"/><Relationship Id="rId178" Type="http://schemas.openxmlformats.org/officeDocument/2006/relationships/hyperlink" Target="https://drive.google.com/file/d/0B9a5BtXYBva5N3dNWGNUQllsblU/view?usp=sharing" TargetMode="External"/><Relationship Id="rId299" Type="http://schemas.openxmlformats.org/officeDocument/2006/relationships/hyperlink" Target="https://drive.google.com/file/d/0B9a5BtXYBva5a2oya3Z2bnFXekE/view?usp=sharing" TargetMode="External"/><Relationship Id="rId177" Type="http://schemas.openxmlformats.org/officeDocument/2006/relationships/hyperlink" Target="https://drive.google.com/file/d/0B9a5BtXYBva5N3RscXVmNllYakU/view?usp=sharing" TargetMode="External"/><Relationship Id="rId298" Type="http://schemas.openxmlformats.org/officeDocument/2006/relationships/hyperlink" Target="https://drive.google.com/file/d/0B9a5BtXYBva5bktJemt4dGpqbzA/view?usp=sharing" TargetMode="External"/><Relationship Id="rId198" Type="http://schemas.openxmlformats.org/officeDocument/2006/relationships/hyperlink" Target="https://drive.google.com/file/d/0B9a5BtXYBva5TFhBTHAzc3hqQnc/view?usp=sharing" TargetMode="External"/><Relationship Id="rId197" Type="http://schemas.openxmlformats.org/officeDocument/2006/relationships/hyperlink" Target="https://drive.google.com/file/d/0B9a5BtXYBva5ZGo4SU5WNHlvUUk/view?usp=sharing" TargetMode="External"/><Relationship Id="rId196" Type="http://schemas.openxmlformats.org/officeDocument/2006/relationships/hyperlink" Target="https://drive.google.com/file/d/0B9a5BtXYBva5alE3OFJCT2d1c2c/view?usp=sharing" TargetMode="External"/><Relationship Id="rId195" Type="http://schemas.openxmlformats.org/officeDocument/2006/relationships/hyperlink" Target="https://drive.google.com/file/d/0B9a5BtXYBva5VjVUTG5JaTRRNlk/view?usp=sharing" TargetMode="External"/><Relationship Id="rId199" Type="http://schemas.openxmlformats.org/officeDocument/2006/relationships/hyperlink" Target="https://drive.google.com/file/d/0B9a5BtXYBva5b3U4RDVkMVQ1aDA/view?usp=sharing" TargetMode="External"/><Relationship Id="rId150" Type="http://schemas.openxmlformats.org/officeDocument/2006/relationships/hyperlink" Target="https://drive.google.com/file/d/0B9a5BtXYBva5aGxoa1kydHNUUHM/view?usp=sharing" TargetMode="External"/><Relationship Id="rId271" Type="http://schemas.openxmlformats.org/officeDocument/2006/relationships/hyperlink" Target="https://drive.google.com/file/d/0B9a5BtXYBva5UlA4TkdXZzJpdW8/view?usp=sharing" TargetMode="External"/><Relationship Id="rId392" Type="http://schemas.openxmlformats.org/officeDocument/2006/relationships/hyperlink" Target="https://drive.google.com/a/uesc.br/file/d/0B9a5BtXYBva5aUR3dzhuZE9kNzg/view?usp=sharing" TargetMode="External"/><Relationship Id="rId270" Type="http://schemas.openxmlformats.org/officeDocument/2006/relationships/hyperlink" Target="https://drive.google.com/file/d/0B9a5BtXYBva5OGJucExiNFl2Y1U/view?usp=sharing" TargetMode="External"/><Relationship Id="rId391" Type="http://schemas.openxmlformats.org/officeDocument/2006/relationships/hyperlink" Target="https://drive.google.com/file/d/1sUDN0s25HQK2SCkY-E1_MdWasL6i7-aY/view?usp=sharing" TargetMode="External"/><Relationship Id="rId390" Type="http://schemas.openxmlformats.org/officeDocument/2006/relationships/hyperlink" Target="https://drive.google.com/file/d/0B9a5BtXYBva5UVFmRGdMd2k4VUE/view?usp=sharing" TargetMode="External"/><Relationship Id="rId1" Type="http://schemas.openxmlformats.org/officeDocument/2006/relationships/hyperlink" Target="https://drive.google.com/file/d/0B9a5BtXYBva5blpBQ2QxSmExbVk/view?usp=sharing" TargetMode="External"/><Relationship Id="rId2" Type="http://schemas.openxmlformats.org/officeDocument/2006/relationships/hyperlink" Target="https://drive.google.com/file/d/0B9a5BtXYBva5T0VSci00dkFIeUk/view?usp=sharing" TargetMode="External"/><Relationship Id="rId3" Type="http://schemas.openxmlformats.org/officeDocument/2006/relationships/hyperlink" Target="https://drive.google.com/file/d/0B9a5BtXYBva5b0tvS1Q4UjZYTUU/view?usp=sharing" TargetMode="External"/><Relationship Id="rId149" Type="http://schemas.openxmlformats.org/officeDocument/2006/relationships/hyperlink" Target="https://drive.google.com/file/d/0B9a5BtXYBva5SzQ3cXUzSWUxVnc/view?usp=sharing" TargetMode="External"/><Relationship Id="rId4" Type="http://schemas.openxmlformats.org/officeDocument/2006/relationships/hyperlink" Target="https://drive.google.com/file/d/0B9a5BtXYBva5T3pHRGcyQXI4TlU/view?usp=sharing" TargetMode="External"/><Relationship Id="rId148" Type="http://schemas.openxmlformats.org/officeDocument/2006/relationships/hyperlink" Target="https://drive.google.com/file/d/0B9a5BtXYBva5R2d2OVZ5MmZSd1U/view?usp=sharing" TargetMode="External"/><Relationship Id="rId269" Type="http://schemas.openxmlformats.org/officeDocument/2006/relationships/hyperlink" Target="https://drive.google.com/file/d/0B9a5BtXYBva5VDY4RTk3OS1NRG8/view?usp=sharing" TargetMode="External"/><Relationship Id="rId9" Type="http://schemas.openxmlformats.org/officeDocument/2006/relationships/hyperlink" Target="https://drive.google.com/file/d/0B9a5BtXYBva5NTRieGYzLXhSd2s/view?usp=sharing" TargetMode="External"/><Relationship Id="rId143" Type="http://schemas.openxmlformats.org/officeDocument/2006/relationships/hyperlink" Target="https://drive.google.com/file/d/0B9a5BtXYBva5b29HOHBQSGd1TGs/view?usp=sharing" TargetMode="External"/><Relationship Id="rId264" Type="http://schemas.openxmlformats.org/officeDocument/2006/relationships/hyperlink" Target="https://drive.google.com/file/d/0B9a5BtXYBva5akJkMWdNZDBKaU0/view?usp=sharing" TargetMode="External"/><Relationship Id="rId385" Type="http://schemas.openxmlformats.org/officeDocument/2006/relationships/hyperlink" Target="https://drive.google.com/file/d/1_hZSB8bJyAKwzBG9w4pnDAvdNSVPUflg/view?usp=sharing" TargetMode="External"/><Relationship Id="rId142" Type="http://schemas.openxmlformats.org/officeDocument/2006/relationships/hyperlink" Target="https://drive.google.com/file/d/0B9a5BtXYBva5Uk9zUWUzaDZQOVk/view?usp=sharing" TargetMode="External"/><Relationship Id="rId263" Type="http://schemas.openxmlformats.org/officeDocument/2006/relationships/hyperlink" Target="https://drive.google.com/file/d/0B9a5BtXYBva5anpyNjJlRERJNFE/view?usp=sharing" TargetMode="External"/><Relationship Id="rId384" Type="http://schemas.openxmlformats.org/officeDocument/2006/relationships/hyperlink" Target="https://drive.google.com/file/d/0B9a5BtXYBva5ekdLeThWVWoyRFk/view?usp=sharing" TargetMode="External"/><Relationship Id="rId141" Type="http://schemas.openxmlformats.org/officeDocument/2006/relationships/hyperlink" Target="https://drive.google.com/file/d/0B9a5BtXYBva5Y2JWSnByaW1Cd3c/view?usp=sharing" TargetMode="External"/><Relationship Id="rId262" Type="http://schemas.openxmlformats.org/officeDocument/2006/relationships/hyperlink" Target="https://drive.google.com/file/d/0B9a5BtXYBva5a3U5YVJ5OXZ4R2s/view?usp=sharing" TargetMode="External"/><Relationship Id="rId383" Type="http://schemas.openxmlformats.org/officeDocument/2006/relationships/hyperlink" Target="https://drive.google.com/file/d/13SJQKBdMG6ZaWKt9GHd1nYWzIpIuCmfd/view?usp=sharing" TargetMode="External"/><Relationship Id="rId140" Type="http://schemas.openxmlformats.org/officeDocument/2006/relationships/hyperlink" Target="https://drive.google.com/file/d/0B9a5BtXYBva5YkNJTnVVeUtPMnc/view?usp=sharing" TargetMode="External"/><Relationship Id="rId261" Type="http://schemas.openxmlformats.org/officeDocument/2006/relationships/hyperlink" Target="https://drive.google.com/file/d/0B9a5BtXYBva5QXhrRU4zUWlRdms/view?usp=sharing" TargetMode="External"/><Relationship Id="rId382" Type="http://schemas.openxmlformats.org/officeDocument/2006/relationships/hyperlink" Target="https://drive.google.com/file/d/0B9a5BtXYBva5dHRRTHZ6VDF1ZzA/view?usp=sharing" TargetMode="External"/><Relationship Id="rId5" Type="http://schemas.openxmlformats.org/officeDocument/2006/relationships/hyperlink" Target="https://drive.google.com/file/d/0B9a5BtXYBva5aWJXUTdVanRpU0k/view?usp=sharing" TargetMode="External"/><Relationship Id="rId147" Type="http://schemas.openxmlformats.org/officeDocument/2006/relationships/hyperlink" Target="https://drive.google.com/file/d/0B9a5BtXYBva5RFNlRUFhQWpEbTQ/view?usp=sharing" TargetMode="External"/><Relationship Id="rId268" Type="http://schemas.openxmlformats.org/officeDocument/2006/relationships/hyperlink" Target="https://drive.google.com/file/d/0B9a5BtXYBva5UDV4TGgzYTdTcTg/view?usp=sharing" TargetMode="External"/><Relationship Id="rId389" Type="http://schemas.openxmlformats.org/officeDocument/2006/relationships/hyperlink" Target="https://drive.google.com/file/d/1EROYRKE63BHhQeCf_biB_wFhJP2BMhqd/view?usp=sharing" TargetMode="External"/><Relationship Id="rId6" Type="http://schemas.openxmlformats.org/officeDocument/2006/relationships/hyperlink" Target="https://drive.google.com/file/d/0B9a5BtXYBva5VmpsNzNPTmR1c0k/view?usp=sharing" TargetMode="External"/><Relationship Id="rId146" Type="http://schemas.openxmlformats.org/officeDocument/2006/relationships/hyperlink" Target="https://drive.google.com/file/d/0B9a5BtXYBva5akdtcVpldjhiWWs/view?usp=sharing" TargetMode="External"/><Relationship Id="rId267" Type="http://schemas.openxmlformats.org/officeDocument/2006/relationships/hyperlink" Target="https://drive.google.com/file/d/0B9a5BtXYBva5WjJpVG04cThQUUU/view?usp=sharing" TargetMode="External"/><Relationship Id="rId388" Type="http://schemas.openxmlformats.org/officeDocument/2006/relationships/hyperlink" Target="https://drive.google.com/file/d/0B9a5BtXYBva5UUJtY245SHgxb1E/view?usp=sharing" TargetMode="External"/><Relationship Id="rId7" Type="http://schemas.openxmlformats.org/officeDocument/2006/relationships/hyperlink" Target="https://drive.google.com/file/d/0B9a5BtXYBva5Z2gyUHhZNlRLT2s/view?usp=sharing" TargetMode="External"/><Relationship Id="rId145" Type="http://schemas.openxmlformats.org/officeDocument/2006/relationships/hyperlink" Target="https://drive.google.com/file/d/0B9a5BtXYBva5WXFNUk1ZZEhwTFE/view?usp=sharing" TargetMode="External"/><Relationship Id="rId266" Type="http://schemas.openxmlformats.org/officeDocument/2006/relationships/hyperlink" Target="https://drive.google.com/file/d/0B9a5BtXYBva5MUdRcUszV01DY1k/view?usp=sharing" TargetMode="External"/><Relationship Id="rId387" Type="http://schemas.openxmlformats.org/officeDocument/2006/relationships/hyperlink" Target="https://drive.google.com/file/d/1apyjxIEiT78-Q_aYyjBFSHaQ0zuffwE9/view?usp=sharing" TargetMode="External"/><Relationship Id="rId8" Type="http://schemas.openxmlformats.org/officeDocument/2006/relationships/hyperlink" Target="https://drive.google.com/file/d/0B9a5BtXYBva5NU12QXd5aFpzbnc/view?usp=sharing" TargetMode="External"/><Relationship Id="rId144" Type="http://schemas.openxmlformats.org/officeDocument/2006/relationships/hyperlink" Target="https://drive.google.com/file/d/0B9a5BtXYBva5d1YwOFdtOXY1dHM/view?usp=sharing" TargetMode="External"/><Relationship Id="rId265" Type="http://schemas.openxmlformats.org/officeDocument/2006/relationships/hyperlink" Target="https://drive.google.com/file/d/0B9a5BtXYBva5YTE4TEQ1SnAtU1k/view?usp=sharing" TargetMode="External"/><Relationship Id="rId386" Type="http://schemas.openxmlformats.org/officeDocument/2006/relationships/hyperlink" Target="https://drive.google.com/file/d/0B9a5BtXYBva5UmNVVFJNdWRreVE/view?usp=sharing" TargetMode="External"/><Relationship Id="rId260" Type="http://schemas.openxmlformats.org/officeDocument/2006/relationships/hyperlink" Target="https://drive.google.com/file/d/0B9a5BtXYBva5R1pIN2VUV0t2WjQ/view?usp=sharing" TargetMode="External"/><Relationship Id="rId381" Type="http://schemas.openxmlformats.org/officeDocument/2006/relationships/hyperlink" Target="https://drive.google.com/file/d/1It8ZPZpAcPjrE0M0fj2o1Jgfw-zl0Pbi/view?usp=sharing" TargetMode="External"/><Relationship Id="rId380" Type="http://schemas.openxmlformats.org/officeDocument/2006/relationships/hyperlink" Target="https://drive.google.com/file/d/0B9a5BtXYBva5QUs3dUZfYWxxSHM/view?usp=sharing" TargetMode="External"/><Relationship Id="rId139" Type="http://schemas.openxmlformats.org/officeDocument/2006/relationships/hyperlink" Target="https://drive.google.com/file/d/0B9a5BtXYBva5eFBac2ZXSUFWdGM/view?usp=sharing" TargetMode="External"/><Relationship Id="rId138" Type="http://schemas.openxmlformats.org/officeDocument/2006/relationships/hyperlink" Target="https://drive.google.com/file/d/0B9a5BtXYBva5WnExY3psMmw1ZVU/view?usp=sharing" TargetMode="External"/><Relationship Id="rId259" Type="http://schemas.openxmlformats.org/officeDocument/2006/relationships/hyperlink" Target="https://drive.google.com/file/d/0B9a5BtXYBva5N2pMdjRNMV9qS0k/view?usp=sharing" TargetMode="External"/><Relationship Id="rId137" Type="http://schemas.openxmlformats.org/officeDocument/2006/relationships/hyperlink" Target="https://drive.google.com/file/d/0B9a5BtXYBva5MVhwRkZYYlU5Vlk/view?usp=sharing" TargetMode="External"/><Relationship Id="rId258" Type="http://schemas.openxmlformats.org/officeDocument/2006/relationships/hyperlink" Target="https://drive.google.com/file/d/0B9a5BtXYBva5d19HcGY0LVJRQnc/view?usp=sharing" TargetMode="External"/><Relationship Id="rId379" Type="http://schemas.openxmlformats.org/officeDocument/2006/relationships/hyperlink" Target="https://drive.google.com/file/d/1T8pUxzbdm4YICjcQrjE8OEEO0e2Mcyut/view?usp=sharing" TargetMode="External"/><Relationship Id="rId132" Type="http://schemas.openxmlformats.org/officeDocument/2006/relationships/hyperlink" Target="https://drive.google.com/file/d/0B9a5BtXYBva5SzdsbnlKcktUNVU/view?usp=sharing" TargetMode="External"/><Relationship Id="rId253" Type="http://schemas.openxmlformats.org/officeDocument/2006/relationships/hyperlink" Target="https://drive.google.com/file/d/0B9a5BtXYBva5YW53OUZPOU5VTnc/view?usp=sharing" TargetMode="External"/><Relationship Id="rId374" Type="http://schemas.openxmlformats.org/officeDocument/2006/relationships/hyperlink" Target="https://drive.google.com/file/d/0B9a5BtXYBva5S1U2NU9mWnFYUlU/view?usp=sharing" TargetMode="External"/><Relationship Id="rId495" Type="http://schemas.openxmlformats.org/officeDocument/2006/relationships/hyperlink" Target="https://drive.google.com/file/d/1ZRXbQ5O2xyD-b8FBz5x1yZKRGtJ-pmnD/view?usp=sharing" TargetMode="External"/><Relationship Id="rId131" Type="http://schemas.openxmlformats.org/officeDocument/2006/relationships/hyperlink" Target="https://drive.google.com/file/d/0B9a5BtXYBva5UmF0UENMX3FqY1E/view?usp=sharing" TargetMode="External"/><Relationship Id="rId252" Type="http://schemas.openxmlformats.org/officeDocument/2006/relationships/hyperlink" Target="https://drive.google.com/file/d/0B9a5BtXYBva5NTM3OEVOM09QLWc/view?usp=sharing" TargetMode="External"/><Relationship Id="rId373" Type="http://schemas.openxmlformats.org/officeDocument/2006/relationships/hyperlink" Target="https://drive.google.com/file/d/1dl3Czlxa2TCxMNNslqpqi7yP_wj4cHRN/view?usp=sharing" TargetMode="External"/><Relationship Id="rId494" Type="http://schemas.openxmlformats.org/officeDocument/2006/relationships/hyperlink" Target="https://drive.google.com/file/d/13oQRqd1Pw9gBlE_Yi6T5WoFWu_F6w2CP/view?usp=sharing" TargetMode="External"/><Relationship Id="rId130" Type="http://schemas.openxmlformats.org/officeDocument/2006/relationships/hyperlink" Target="https://drive.google.com/file/d/0B9a5BtXYBva5RkdXT1B6SV9tZ00/view?usp=sharing" TargetMode="External"/><Relationship Id="rId251" Type="http://schemas.openxmlformats.org/officeDocument/2006/relationships/hyperlink" Target="https://drive.google.com/file/d/0B9a5BtXYBva5V0V6TkFzZnJXRk0/view?usp=sharing" TargetMode="External"/><Relationship Id="rId372" Type="http://schemas.openxmlformats.org/officeDocument/2006/relationships/hyperlink" Target="https://drive.google.com/file/d/0B9a5BtXYBva5bk5TMEktcnZjNzQ/view?usp=sharing" TargetMode="External"/><Relationship Id="rId493" Type="http://schemas.openxmlformats.org/officeDocument/2006/relationships/hyperlink" Target="https://drive.google.com/file/d/16GjJnHRCDTJNI5mGiWkQ2ooqrKWX7eU3/view?usp=sharing" TargetMode="External"/><Relationship Id="rId250" Type="http://schemas.openxmlformats.org/officeDocument/2006/relationships/hyperlink" Target="https://drive.google.com/file/d/0B9a5BtXYBva5UFNyMk1sd2hfbjA/view?usp=sharing" TargetMode="External"/><Relationship Id="rId371" Type="http://schemas.openxmlformats.org/officeDocument/2006/relationships/hyperlink" Target="https://drive.google.com/file/d/1EPnT73qduecmmnEQEEmZFdnekMABqDDp/view?usp=sharing" TargetMode="External"/><Relationship Id="rId492" Type="http://schemas.openxmlformats.org/officeDocument/2006/relationships/hyperlink" Target="https://drive.google.com/file/d/1S7h-Y4kH9Fe3soVdWNIxKo-BUi07ll5z/view?usp=sharing" TargetMode="External"/><Relationship Id="rId136" Type="http://schemas.openxmlformats.org/officeDocument/2006/relationships/hyperlink" Target="https://drive.google.com/file/d/0B9a5BtXYBva5V3Z3cG5IVmp1MXM/view?usp=sharing" TargetMode="External"/><Relationship Id="rId257" Type="http://schemas.openxmlformats.org/officeDocument/2006/relationships/hyperlink" Target="https://drive.google.com/file/d/0B9a5BtXYBva5QjhuTlRNVGw5Z3M/view?usp=sharing" TargetMode="External"/><Relationship Id="rId378" Type="http://schemas.openxmlformats.org/officeDocument/2006/relationships/hyperlink" Target="https://drive.google.com/file/d/0B9a5BtXYBva5czZQNnNCVk5Hdmc/view?usp=sharing" TargetMode="External"/><Relationship Id="rId499" Type="http://schemas.openxmlformats.org/officeDocument/2006/relationships/hyperlink" Target="https://drive.google.com/file/d/1Qps93HHxGhsBYSabt3wJKyrEiIinRjkj/view?usp=sharing" TargetMode="External"/><Relationship Id="rId135" Type="http://schemas.openxmlformats.org/officeDocument/2006/relationships/hyperlink" Target="https://drive.google.com/file/d/0B9a5BtXYBva5WGJhaDJYanlmNWs/view?usp=sharing" TargetMode="External"/><Relationship Id="rId256" Type="http://schemas.openxmlformats.org/officeDocument/2006/relationships/hyperlink" Target="https://drive.google.com/file/d/0B9a5BtXYBva5STFyelZzUzZITWc/view?usp=sharing" TargetMode="External"/><Relationship Id="rId377" Type="http://schemas.openxmlformats.org/officeDocument/2006/relationships/hyperlink" Target="https://drive.google.com/file/d/1vMC40gN67yJCHe1vCwsEi-KBdoIvpdSd/view?usp=sharing" TargetMode="External"/><Relationship Id="rId498" Type="http://schemas.openxmlformats.org/officeDocument/2006/relationships/hyperlink" Target="https://drive.google.com/file/d/1pzwxggoMGnZ2n_FKnARt0zZvZ-mgkgtG/view?usp=sharing" TargetMode="External"/><Relationship Id="rId134" Type="http://schemas.openxmlformats.org/officeDocument/2006/relationships/hyperlink" Target="https://drive.google.com/file/d/0B9a5BtXYBva5RnktQndKYXJnMjQ/view?usp=sharing" TargetMode="External"/><Relationship Id="rId255" Type="http://schemas.openxmlformats.org/officeDocument/2006/relationships/hyperlink" Target="https://drive.google.com/file/d/0B9a5BtXYBva5ZHM3NmNadS1IX3M/view?usp=sharing" TargetMode="External"/><Relationship Id="rId376" Type="http://schemas.openxmlformats.org/officeDocument/2006/relationships/hyperlink" Target="https://drive.google.com/file/d/0B9a5BtXYBva5WHhMd09VQ3JXQXc/view?usp=sharing" TargetMode="External"/><Relationship Id="rId497" Type="http://schemas.openxmlformats.org/officeDocument/2006/relationships/hyperlink" Target="https://drive.google.com/file/d/1EkIOyUST6_V73Gi1IPb4HEMDUroAcj_J/view?usp=sharing" TargetMode="External"/><Relationship Id="rId133" Type="http://schemas.openxmlformats.org/officeDocument/2006/relationships/hyperlink" Target="https://drive.google.com/file/d/0B9a5BtXYBva5TUItbXJBaEx1b2M/view?usp=sharing" TargetMode="External"/><Relationship Id="rId254" Type="http://schemas.openxmlformats.org/officeDocument/2006/relationships/hyperlink" Target="https://drive.google.com/file/d/0B9a5BtXYBva5QWUyWTRSdnZhR0E/view?usp=sharing" TargetMode="External"/><Relationship Id="rId375" Type="http://schemas.openxmlformats.org/officeDocument/2006/relationships/hyperlink" Target="https://drive.google.com/file/d/1EMZTRSNa8x2c0JXhiaawIE9TPGV2-GdT/view?usp=sharing" TargetMode="External"/><Relationship Id="rId496" Type="http://schemas.openxmlformats.org/officeDocument/2006/relationships/hyperlink" Target="https://drive.google.com/file/d/14aYW0c_RHTvejNPcD3eNbh-qpSWbPbCw/view?usp=sharing" TargetMode="External"/><Relationship Id="rId172" Type="http://schemas.openxmlformats.org/officeDocument/2006/relationships/hyperlink" Target="https://drive.google.com/file/d/0B9a5BtXYBva5eV96MHI1OE5JYzA/view?usp=sharing" TargetMode="External"/><Relationship Id="rId293" Type="http://schemas.openxmlformats.org/officeDocument/2006/relationships/hyperlink" Target="https://drive.google.com/file/d/0B9a5BtXYBva5UjZ5aWNqOFJoMGc/view?usp=sharing" TargetMode="External"/><Relationship Id="rId171" Type="http://schemas.openxmlformats.org/officeDocument/2006/relationships/hyperlink" Target="https://drive.google.com/file/d/0B9a5BtXYBva5eGNLN0pTZ0xuaTA/view?usp=sharing" TargetMode="External"/><Relationship Id="rId292" Type="http://schemas.openxmlformats.org/officeDocument/2006/relationships/hyperlink" Target="https://drive.google.com/file/d/0B9a5BtXYBva5X2JZX002eGJfekU/view?usp=sharing" TargetMode="External"/><Relationship Id="rId170" Type="http://schemas.openxmlformats.org/officeDocument/2006/relationships/hyperlink" Target="https://drive.google.com/file/d/0B9a5BtXYBva5N2lwMXF4SVM0Uk0/view?usp=sharing" TargetMode="External"/><Relationship Id="rId291" Type="http://schemas.openxmlformats.org/officeDocument/2006/relationships/hyperlink" Target="https://drive.google.com/file/d/0B9a5BtXYBva5Rlp3Rm9jbURJMFk/view?usp=sharing" TargetMode="External"/><Relationship Id="rId290" Type="http://schemas.openxmlformats.org/officeDocument/2006/relationships/hyperlink" Target="https://drive.google.com/file/d/0B9a5BtXYBva5UlJqdG5ad1h3dVE/view?usp=sharing" TargetMode="External"/><Relationship Id="rId165" Type="http://schemas.openxmlformats.org/officeDocument/2006/relationships/hyperlink" Target="https://drive.google.com/file/d/0B9a5BtXYBva5VlFDbkhXWGRvanc/view?usp=sharing" TargetMode="External"/><Relationship Id="rId286" Type="http://schemas.openxmlformats.org/officeDocument/2006/relationships/hyperlink" Target="https://drive.google.com/file/d/0B9a5BtXYBva5Q1pKaGlCM3hLWHc/view?usp=sharing" TargetMode="External"/><Relationship Id="rId164" Type="http://schemas.openxmlformats.org/officeDocument/2006/relationships/hyperlink" Target="https://drive.google.com/file/d/0B9a5BtXYBva5Y0VvbEpBMmpocTQ/view?usp=sharing" TargetMode="External"/><Relationship Id="rId285" Type="http://schemas.openxmlformats.org/officeDocument/2006/relationships/hyperlink" Target="https://drive.google.com/file/d/0B9a5BtXYBva5SHpyME11alZPYlE/view?usp=sharing" TargetMode="External"/><Relationship Id="rId163" Type="http://schemas.openxmlformats.org/officeDocument/2006/relationships/hyperlink" Target="https://drive.google.com/open?id=13MjrTwsWBn9yPonwzJLPPdzQBz4tAUd0" TargetMode="External"/><Relationship Id="rId284" Type="http://schemas.openxmlformats.org/officeDocument/2006/relationships/hyperlink" Target="https://drive.google.com/file/d/0B9a5BtXYBva5dnhHaDZnRVMxSEE/view?usp=sharing" TargetMode="External"/><Relationship Id="rId162" Type="http://schemas.openxmlformats.org/officeDocument/2006/relationships/hyperlink" Target="https://drive.google.com/file/d/0B9a5BtXYBva5cXc0OXlfejZleGc/view?usp=sharing" TargetMode="External"/><Relationship Id="rId283" Type="http://schemas.openxmlformats.org/officeDocument/2006/relationships/hyperlink" Target="https://drive.google.com/file/d/0B9a5BtXYBva5dnVKUWFSTjJNMjA/view?usp=sharing" TargetMode="External"/><Relationship Id="rId169" Type="http://schemas.openxmlformats.org/officeDocument/2006/relationships/hyperlink" Target="https://drive.google.com/file/d/0B9a5BtXYBva5a0dvbU5FTFM2V3M/view?usp=sharing" TargetMode="External"/><Relationship Id="rId168" Type="http://schemas.openxmlformats.org/officeDocument/2006/relationships/hyperlink" Target="https://drive.google.com/file/d/0B9a5BtXYBva5M0V0RHFlTzRkVG8/view?usp=sharing" TargetMode="External"/><Relationship Id="rId289" Type="http://schemas.openxmlformats.org/officeDocument/2006/relationships/hyperlink" Target="https://drive.google.com/file/d/0B9a5BtXYBva5aHBBSkFLbzh5eUk/view?usp=sharing" TargetMode="External"/><Relationship Id="rId167" Type="http://schemas.openxmlformats.org/officeDocument/2006/relationships/hyperlink" Target="https://drive.google.com/file/d/0B9a5BtXYBva5eGpaTlFVSTNTTUk/view?usp=sharing" TargetMode="External"/><Relationship Id="rId288" Type="http://schemas.openxmlformats.org/officeDocument/2006/relationships/hyperlink" Target="https://drive.google.com/file/d/0B9a5BtXYBva5NzBZTVU2VFlJQUU/view?usp=sharing" TargetMode="External"/><Relationship Id="rId166" Type="http://schemas.openxmlformats.org/officeDocument/2006/relationships/hyperlink" Target="https://drive.google.com/file/d/0B9a5BtXYBva5UXhXMmZqeGh5ZUU/view?usp=sharing" TargetMode="External"/><Relationship Id="rId287" Type="http://schemas.openxmlformats.org/officeDocument/2006/relationships/hyperlink" Target="https://drive.google.com/file/d/0B9a5BtXYBva5WTFnY1JZbWhYNDA/view?usp=sharing" TargetMode="External"/><Relationship Id="rId161" Type="http://schemas.openxmlformats.org/officeDocument/2006/relationships/hyperlink" Target="https://drive.google.com/file/d/0B9a5BtXYBva5OE9vZElrQUgxejA/view?usp=sharing" TargetMode="External"/><Relationship Id="rId282" Type="http://schemas.openxmlformats.org/officeDocument/2006/relationships/hyperlink" Target="https://drive.google.com/file/d/0B9a5BtXYBva5U3Jld2ZTcTNOWVU/view?usp=sharing" TargetMode="External"/><Relationship Id="rId160" Type="http://schemas.openxmlformats.org/officeDocument/2006/relationships/hyperlink" Target="https://drive.google.com/file/d/0B9a5BtXYBva5UGRUTjBZcWt2WGc/view?usp=sharing" TargetMode="External"/><Relationship Id="rId281" Type="http://schemas.openxmlformats.org/officeDocument/2006/relationships/hyperlink" Target="https://drive.google.com/file/d/0B9a5BtXYBva5TUpqRWl2UzlhTGM/view?usp=sharing" TargetMode="External"/><Relationship Id="rId280" Type="http://schemas.openxmlformats.org/officeDocument/2006/relationships/hyperlink" Target="https://drive.google.com/file/d/0B9a5BtXYBva5V2hzcE9ZNVFRbUE/view?usp=sharing" TargetMode="External"/><Relationship Id="rId159" Type="http://schemas.openxmlformats.org/officeDocument/2006/relationships/hyperlink" Target="https://drive.google.com/open?id=1HcD54Lu8RvTV9pwWmxOm-JB_wO39n_TW" TargetMode="External"/><Relationship Id="rId154" Type="http://schemas.openxmlformats.org/officeDocument/2006/relationships/hyperlink" Target="https://drive.google.com/file/d/0B9a5BtXYBva5TzFQaW84LUtTMkU/view?usp=sharing" TargetMode="External"/><Relationship Id="rId275" Type="http://schemas.openxmlformats.org/officeDocument/2006/relationships/hyperlink" Target="https://drive.google.com/file/d/0B9a5BtXYBva5N2YzWERISnRCdnc/view?usp=sharing" TargetMode="External"/><Relationship Id="rId396" Type="http://schemas.openxmlformats.org/officeDocument/2006/relationships/hyperlink" Target="https://drive.google.com/a/uesc.br/file/d/0B9a5BtXYBva5Yy1hS0k4RmJiVHc/view?usp=sharing" TargetMode="External"/><Relationship Id="rId153" Type="http://schemas.openxmlformats.org/officeDocument/2006/relationships/hyperlink" Target="https://drive.google.com/file/d/0B9a5BtXYBva5STJ2QmlQTFJhalU/view?usp=sharing" TargetMode="External"/><Relationship Id="rId274" Type="http://schemas.openxmlformats.org/officeDocument/2006/relationships/hyperlink" Target="https://drive.google.com/file/d/0B9a5BtXYBva5ZTdYUkpZLUQ3Vm8/view?usp=sharing" TargetMode="External"/><Relationship Id="rId395" Type="http://schemas.openxmlformats.org/officeDocument/2006/relationships/hyperlink" Target="https://drive.google.com/file/d/1jnuq8DGqU9Ybvwodm8i3F5l9I9LZ_msw/view?usp=sharing" TargetMode="External"/><Relationship Id="rId152" Type="http://schemas.openxmlformats.org/officeDocument/2006/relationships/hyperlink" Target="https://drive.google.com/file/d/0B9a5BtXYBva5RnVNSWJhamo2Rkk/view?usp=sharing" TargetMode="External"/><Relationship Id="rId273" Type="http://schemas.openxmlformats.org/officeDocument/2006/relationships/hyperlink" Target="https://drive.google.com/file/d/0B9a5BtXYBva5alU0cnd5U183T2c/view?usp=sharing" TargetMode="External"/><Relationship Id="rId394" Type="http://schemas.openxmlformats.org/officeDocument/2006/relationships/hyperlink" Target="https://drive.google.com/a/uesc.br/file/d/0B9a5BtXYBva5blJuZWRDRzVOZzQ/view?usp=sharing" TargetMode="External"/><Relationship Id="rId151" Type="http://schemas.openxmlformats.org/officeDocument/2006/relationships/hyperlink" Target="https://drive.google.com/file/d/0B9a5BtXYBva5V1lKaXR4eFhzMWc/view?usp=sharing" TargetMode="External"/><Relationship Id="rId272" Type="http://schemas.openxmlformats.org/officeDocument/2006/relationships/hyperlink" Target="https://drive.google.com/file/d/0B9a5BtXYBva5NVpVQjhnek1kSzQ/view?usp=sharing" TargetMode="External"/><Relationship Id="rId393" Type="http://schemas.openxmlformats.org/officeDocument/2006/relationships/hyperlink" Target="https://drive.google.com/file/d/1e-DY9-i2VpwJ0_Q-bLDVVAefpQa9ObRR/view?usp=sharing" TargetMode="External"/><Relationship Id="rId158" Type="http://schemas.openxmlformats.org/officeDocument/2006/relationships/hyperlink" Target="https://drive.google.com/file/d/0B9a5BtXYBva5VGRqSEVoOEJMSU0/view?usp=sharing" TargetMode="External"/><Relationship Id="rId279" Type="http://schemas.openxmlformats.org/officeDocument/2006/relationships/hyperlink" Target="https://drive.google.com/file/d/0B9a5BtXYBva5RUVnWnZ1Zy1sZ0U/view?usp=sharing" TargetMode="External"/><Relationship Id="rId157" Type="http://schemas.openxmlformats.org/officeDocument/2006/relationships/hyperlink" Target="https://drive.google.com/file/d/0B9a5BtXYBva5d1BtbmluanJNbVU/view?usp=sharing" TargetMode="External"/><Relationship Id="rId278" Type="http://schemas.openxmlformats.org/officeDocument/2006/relationships/hyperlink" Target="https://drive.google.com/file/d/0B9a5BtXYBva5UjNIc0VXMXFKMEU/view?usp=sharing" TargetMode="External"/><Relationship Id="rId399" Type="http://schemas.openxmlformats.org/officeDocument/2006/relationships/hyperlink" Target="https://drive.google.com/file/d/1eD2duc0xut7kmbydtAK4qyRbM8qVl243/view?usp=sharing" TargetMode="External"/><Relationship Id="rId156" Type="http://schemas.openxmlformats.org/officeDocument/2006/relationships/hyperlink" Target="https://drive.google.com/file/d/0B9a5BtXYBva5SjRQNU0xX1A2NFk/view?usp=sharing" TargetMode="External"/><Relationship Id="rId277" Type="http://schemas.openxmlformats.org/officeDocument/2006/relationships/hyperlink" Target="https://drive.google.com/file/d/0B9a5BtXYBva5cFZtN0NKV3FZMFU/view?usp=sharing" TargetMode="External"/><Relationship Id="rId398" Type="http://schemas.openxmlformats.org/officeDocument/2006/relationships/hyperlink" Target="https://drive.google.com/a/uesc.br/file/d/0B9a5BtXYBva5dUo0QXRkVk1QdDA/view?usp=sharing" TargetMode="External"/><Relationship Id="rId155" Type="http://schemas.openxmlformats.org/officeDocument/2006/relationships/hyperlink" Target="https://drive.google.com/file/d/0B9a5BtXYBva5MVhPd3lCOFZsRGc/view?usp=sharing" TargetMode="External"/><Relationship Id="rId276" Type="http://schemas.openxmlformats.org/officeDocument/2006/relationships/hyperlink" Target="https://drive.google.com/file/d/0B9a5BtXYBva5d0NJTWw3X3BQQzQ/view?usp=sharing" TargetMode="External"/><Relationship Id="rId397" Type="http://schemas.openxmlformats.org/officeDocument/2006/relationships/hyperlink" Target="https://drive.google.com/file/d/1xf8lTVI693VQjUlNM3KBM08rfGuD8TIE/view?usp=sharing" TargetMode="External"/><Relationship Id="rId40" Type="http://schemas.openxmlformats.org/officeDocument/2006/relationships/hyperlink" Target="https://drive.google.com/file/d/0B9a5BtXYBva5WEdpVmljNkZsMGc/view?usp=sharing" TargetMode="External"/><Relationship Id="rId42" Type="http://schemas.openxmlformats.org/officeDocument/2006/relationships/hyperlink" Target="https://drive.google.com/file/d/0B9a5BtXYBva5dXlXeDVfcFJqb28/view?usp=sharing" TargetMode="External"/><Relationship Id="rId41" Type="http://schemas.openxmlformats.org/officeDocument/2006/relationships/hyperlink" Target="https://drive.google.com/file/d/0B9a5BtXYBva5VGkwbnFCLUtUOGc/view?usp=sharing" TargetMode="External"/><Relationship Id="rId44" Type="http://schemas.openxmlformats.org/officeDocument/2006/relationships/hyperlink" Target="https://drive.google.com/file/d/0B9a5BtXYBva5aXMtem8tT2dfQkE/view?usp=sharing" TargetMode="External"/><Relationship Id="rId43" Type="http://schemas.openxmlformats.org/officeDocument/2006/relationships/hyperlink" Target="https://drive.google.com/file/d/0B9a5BtXYBva5ZmlENzNDaF9oaTA/view?usp=sharing" TargetMode="External"/><Relationship Id="rId46" Type="http://schemas.openxmlformats.org/officeDocument/2006/relationships/hyperlink" Target="https://drive.google.com/file/d/0B9a5BtXYBva5MG9nT3RJZFZrRzQ/view?usp=sharing" TargetMode="External"/><Relationship Id="rId45" Type="http://schemas.openxmlformats.org/officeDocument/2006/relationships/hyperlink" Target="https://drive.google.com/file/d/0B9a5BtXYBva5Ulh2S3JYMlBmUUU/view?usp=sharing" TargetMode="External"/><Relationship Id="rId509" Type="http://schemas.openxmlformats.org/officeDocument/2006/relationships/hyperlink" Target="https://drive.google.com/open?id=1E22eLOshCbUalSRiv0nMvDHdHMExukK4" TargetMode="External"/><Relationship Id="rId508" Type="http://schemas.openxmlformats.org/officeDocument/2006/relationships/hyperlink" Target="https://drive.google.com/file/d/1r-yxBrI0sY4Il9fLYrTyVKE6Wjz6QA_n/view?usp=sharing" TargetMode="External"/><Relationship Id="rId629" Type="http://schemas.openxmlformats.org/officeDocument/2006/relationships/hyperlink" Target="https://drive.google.com/file/d/1ZqMvkpTPMlKBAS0PdjKfYyz7HvOV_rKT/view?usp=sharing" TargetMode="External"/><Relationship Id="rId503" Type="http://schemas.openxmlformats.org/officeDocument/2006/relationships/hyperlink" Target="https://drive.google.com/file/d/1XpuItNTC0nb59Z1MjRTfWItBMJPoU3yv/view?usp=sharing" TargetMode="External"/><Relationship Id="rId624" Type="http://schemas.openxmlformats.org/officeDocument/2006/relationships/hyperlink" Target="https://drive.google.com/file/d/1MHEtB2VraK9UVc-LRG-wnlPCxsG0Zq_V/view?usp=sharing" TargetMode="External"/><Relationship Id="rId502" Type="http://schemas.openxmlformats.org/officeDocument/2006/relationships/hyperlink" Target="https://drive.google.com/file/d/1sUFegXmHHax1Up1aZ5SbCxOmUVqsMQLY/view?usp=sharing" TargetMode="External"/><Relationship Id="rId623" Type="http://schemas.openxmlformats.org/officeDocument/2006/relationships/hyperlink" Target="https://drive.google.com/file/d/1KL0h2J-eA0cdnXj_yKR2z3prQy4N11zz/view?usp=sharing" TargetMode="External"/><Relationship Id="rId501" Type="http://schemas.openxmlformats.org/officeDocument/2006/relationships/hyperlink" Target="https://drive.google.com/file/d/1Spuo0XbBLwxtr8fvw4UDouie_MEnrHjP/view?usp=sharing" TargetMode="External"/><Relationship Id="rId622" Type="http://schemas.openxmlformats.org/officeDocument/2006/relationships/hyperlink" Target="https://drive.google.com/file/d/1KL0h2J-eA0cdnXj_yKR2z3prQy4N11zz/view?usp=sharing" TargetMode="External"/><Relationship Id="rId500" Type="http://schemas.openxmlformats.org/officeDocument/2006/relationships/hyperlink" Target="https://drive.google.com/file/d/1ZgrRzZlb-m_jgkL1baxM_-DqFBLlwjMR/view?usp=sharing" TargetMode="External"/><Relationship Id="rId621" Type="http://schemas.openxmlformats.org/officeDocument/2006/relationships/hyperlink" Target="https://drive.google.com/file/d/1-gvNI_0u3noehYZzMKmu4ikOO_p3msNy/view?usp=sharing" TargetMode="External"/><Relationship Id="rId507" Type="http://schemas.openxmlformats.org/officeDocument/2006/relationships/hyperlink" Target="https://drive.google.com/file/d/1NRatsYBkQm1MoCMJmtvw9Bc5QpRM1bs6/view?usp=sharing" TargetMode="External"/><Relationship Id="rId628" Type="http://schemas.openxmlformats.org/officeDocument/2006/relationships/hyperlink" Target="https://drive.google.com/file/d/1ZqMvkpTPMlKBAS0PdjKfYyz7HvOV_rKT/view?usp=sharing" TargetMode="External"/><Relationship Id="rId506" Type="http://schemas.openxmlformats.org/officeDocument/2006/relationships/hyperlink" Target="https://drive.google.com/file/d/1CObyn6tvCXOp-m2qceHPq-ysKdwDJkhM/view?usp=sharing" TargetMode="External"/><Relationship Id="rId627" Type="http://schemas.openxmlformats.org/officeDocument/2006/relationships/hyperlink" Target="https://drive.google.com/file/d/1ruAxC-DepkJ2ZPpJOHQTwrCiNal7nbdM/view?usp=sharing" TargetMode="External"/><Relationship Id="rId505" Type="http://schemas.openxmlformats.org/officeDocument/2006/relationships/hyperlink" Target="https://drive.google.com/file/d/1ovItc1KEDhZSkXL4FZ4mssS_a4Fxu5xK/view?usp=sharing" TargetMode="External"/><Relationship Id="rId626" Type="http://schemas.openxmlformats.org/officeDocument/2006/relationships/hyperlink" Target="https://drive.google.com/file/d/1ruAxC-DepkJ2ZPpJOHQTwrCiNal7nbdM/view?usp=sharing" TargetMode="External"/><Relationship Id="rId504" Type="http://schemas.openxmlformats.org/officeDocument/2006/relationships/hyperlink" Target="https://drive.google.com/file/d/10UEDNARWypZooKSRHw395z-BmtrPOTZh/view?usp=sharing" TargetMode="External"/><Relationship Id="rId625" Type="http://schemas.openxmlformats.org/officeDocument/2006/relationships/hyperlink" Target="https://drive.google.com/file/d/1MHEtB2VraK9UVc-LRG-wnlPCxsG0Zq_V/view?usp=sharing" TargetMode="External"/><Relationship Id="rId48" Type="http://schemas.openxmlformats.org/officeDocument/2006/relationships/hyperlink" Target="https://drive.google.com/file/d/0B9a5BtXYBva5OTl6ZVRtaEZodTA/view?usp=sharing" TargetMode="External"/><Relationship Id="rId47" Type="http://schemas.openxmlformats.org/officeDocument/2006/relationships/hyperlink" Target="https://drive.google.com/file/d/0B9a5BtXYBva5MklTVmRDTGJsWTA/view?usp=sharing" TargetMode="External"/><Relationship Id="rId49" Type="http://schemas.openxmlformats.org/officeDocument/2006/relationships/hyperlink" Target="https://drive.google.com/file/d/0B9a5BtXYBva5dHJISVMwd2ZSWkk/view?usp=sharing" TargetMode="External"/><Relationship Id="rId620" Type="http://schemas.openxmlformats.org/officeDocument/2006/relationships/hyperlink" Target="https://drive.google.com/open?id=1KBvrQSbkQ3vgIJT3QUM6p1bN9cXmMBXW" TargetMode="External"/><Relationship Id="rId31" Type="http://schemas.openxmlformats.org/officeDocument/2006/relationships/hyperlink" Target="https://drive.google.com/file/d/0B9a5BtXYBva5ckpIZE96Wk9aQWs/view?usp=sharing" TargetMode="External"/><Relationship Id="rId30" Type="http://schemas.openxmlformats.org/officeDocument/2006/relationships/hyperlink" Target="https://drive.google.com/file/d/0B9a5BtXYBva5V1BpUUtmUkFDbkk/view?usp=sharing" TargetMode="External"/><Relationship Id="rId33" Type="http://schemas.openxmlformats.org/officeDocument/2006/relationships/hyperlink" Target="https://drive.google.com/file/d/0B9a5BtXYBva5OXIzSjczRm4yLTA/view?usp=sharing" TargetMode="External"/><Relationship Id="rId32" Type="http://schemas.openxmlformats.org/officeDocument/2006/relationships/hyperlink" Target="https://drive.google.com/file/d/0B9a5BtXYBva5YTVOQVA4S1hjN3M/view?usp=sharing" TargetMode="External"/><Relationship Id="rId35" Type="http://schemas.openxmlformats.org/officeDocument/2006/relationships/hyperlink" Target="https://drive.google.com/file/d/0B9a5BtXYBva5RDRnSWVXZXdBRHM/view?usp=sharing" TargetMode="External"/><Relationship Id="rId34" Type="http://schemas.openxmlformats.org/officeDocument/2006/relationships/hyperlink" Target="https://drive.google.com/file/d/0B9a5BtXYBva5UWFYSHkzNHZ3TDA/view?usp=sharing" TargetMode="External"/><Relationship Id="rId619" Type="http://schemas.openxmlformats.org/officeDocument/2006/relationships/hyperlink" Target="https://drive.google.com/file/d/1J_nphQSrElo-5WYL-VUOsT5qrl8wEuoG/view?usp=sharing" TargetMode="External"/><Relationship Id="rId618" Type="http://schemas.openxmlformats.org/officeDocument/2006/relationships/hyperlink" Target="https://drive.google.com/open?id=16rzkLXRJ2TvmaIM1fNt9nXKkV2GwZxY3" TargetMode="External"/><Relationship Id="rId613" Type="http://schemas.openxmlformats.org/officeDocument/2006/relationships/hyperlink" Target="https://drive.google.com/open?id=1yeFAsENoBY6DFgAIAgaHNMutB9WjRijk" TargetMode="External"/><Relationship Id="rId612" Type="http://schemas.openxmlformats.org/officeDocument/2006/relationships/hyperlink" Target="https://drive.google.com/open?id=1g7nkmzLTVK4Hl5OKTub-CKelITbo3f7Z" TargetMode="External"/><Relationship Id="rId611" Type="http://schemas.openxmlformats.org/officeDocument/2006/relationships/hyperlink" Target="https://drive.google.com/file/d/1ZfuVXt7qciCVNVPJNxG-UMUyzxvzeEBI/view?usp=sharing" TargetMode="External"/><Relationship Id="rId610" Type="http://schemas.openxmlformats.org/officeDocument/2006/relationships/hyperlink" Target="https://drive.google.com/open?id=1VKXF8q2rb8fpvOT6m_V2U-P8bHVODkDp" TargetMode="External"/><Relationship Id="rId617" Type="http://schemas.openxmlformats.org/officeDocument/2006/relationships/hyperlink" Target="https://drive.google.com/open?id=11FdrCfUzxSzNmSTVZKYphCRQ5PBcMTuP" TargetMode="External"/><Relationship Id="rId616" Type="http://schemas.openxmlformats.org/officeDocument/2006/relationships/hyperlink" Target="https://drive.google.com/open?id=1x4O0wz4V5o-Tu9VUaSo5L3cslGxMtM51" TargetMode="External"/><Relationship Id="rId615" Type="http://schemas.openxmlformats.org/officeDocument/2006/relationships/hyperlink" Target="https://drive.google.com/file/d/1guU2rnZjeTO3dZd1Y5-TCSdeTxqzXuWq/view?usp=sharing" TargetMode="External"/><Relationship Id="rId614" Type="http://schemas.openxmlformats.org/officeDocument/2006/relationships/hyperlink" Target="https://drive.google.com/open?id=1ehMGOUfZ7u4DrQ6ukkzH1yESwIwLUQa5" TargetMode="External"/><Relationship Id="rId37" Type="http://schemas.openxmlformats.org/officeDocument/2006/relationships/hyperlink" Target="https://drive.google.com/file/d/0B9a5BtXYBva5ejZMLWNMWHV6UHM/view?usp=sharing" TargetMode="External"/><Relationship Id="rId36" Type="http://schemas.openxmlformats.org/officeDocument/2006/relationships/hyperlink" Target="https://drive.google.com/file/d/0B9a5BtXYBva5dzc4S2E2bXdmVkU/view?usp=sharing" TargetMode="External"/><Relationship Id="rId39" Type="http://schemas.openxmlformats.org/officeDocument/2006/relationships/hyperlink" Target="https://drive.google.com/file/d/0B9a5BtXYBva5RkNiQl9nZERQdlU/view?usp=sharing" TargetMode="External"/><Relationship Id="rId38" Type="http://schemas.openxmlformats.org/officeDocument/2006/relationships/hyperlink" Target="https://drive.google.com/open?id=14hyJfu3UXBI4QaUHgP8WXxGaToNOe5Vz" TargetMode="External"/><Relationship Id="rId20" Type="http://schemas.openxmlformats.org/officeDocument/2006/relationships/hyperlink" Target="https://drive.google.com/file/d/0B9a5BtXYBva5REhCUnhBcEUzY2s/view?usp=sharing" TargetMode="External"/><Relationship Id="rId22" Type="http://schemas.openxmlformats.org/officeDocument/2006/relationships/hyperlink" Target="https://drive.google.com/file/d/0B9a5BtXYBva5MC1nWm50X1BOZkE/view?usp=sharing" TargetMode="External"/><Relationship Id="rId21" Type="http://schemas.openxmlformats.org/officeDocument/2006/relationships/hyperlink" Target="https://drive.google.com/file/d/0B9a5BtXYBva5NVpTVk5pdHBsY1E/view?usp=sharing" TargetMode="External"/><Relationship Id="rId24" Type="http://schemas.openxmlformats.org/officeDocument/2006/relationships/hyperlink" Target="https://drive.google.com/file/d/0B9a5BtXYBva5WHlHdl9zU1BxMlk/view?usp=sharing" TargetMode="External"/><Relationship Id="rId23" Type="http://schemas.openxmlformats.org/officeDocument/2006/relationships/hyperlink" Target="https://drive.google.com/file/d/0B9a5BtXYBva5T0Fzakd2NDBkUlk/view?usp=sharing" TargetMode="External"/><Relationship Id="rId409" Type="http://schemas.openxmlformats.org/officeDocument/2006/relationships/hyperlink" Target="https://drive.google.com/file/d/1WpbtZKnqK8bozrVVbNCN2nuP4X4YLdyC/view?usp=sharing" TargetMode="External"/><Relationship Id="rId404" Type="http://schemas.openxmlformats.org/officeDocument/2006/relationships/hyperlink" Target="https://drive.google.com/a/uesc.br/file/d/0B9a5BtXYBva5VXVyY1h5UjlZdGs/view?usp=sharing" TargetMode="External"/><Relationship Id="rId525" Type="http://schemas.openxmlformats.org/officeDocument/2006/relationships/hyperlink" Target="https://drive.google.com/open?id=1YOyvwAELf2HJq5RYOobUQf-7mg0QHFuA" TargetMode="External"/><Relationship Id="rId646" Type="http://schemas.openxmlformats.org/officeDocument/2006/relationships/hyperlink" Target="https://drive.google.com/file/d/18G1ooHkmerQ__Tf0p96gv02FGVJqHy-Y/view?usp=sharing" TargetMode="External"/><Relationship Id="rId403" Type="http://schemas.openxmlformats.org/officeDocument/2006/relationships/hyperlink" Target="https://drive.google.com/file/d/1HW230g0iW6LaQmL3nmHSw5_CvqkEzzPb/view?usp=sharing" TargetMode="External"/><Relationship Id="rId524" Type="http://schemas.openxmlformats.org/officeDocument/2006/relationships/hyperlink" Target="https://drive.google.com/file/d/1Udi1UJYKDzJMqRrinEZ8z9b9n-K7FHA7/view?usp=sharing" TargetMode="External"/><Relationship Id="rId645" Type="http://schemas.openxmlformats.org/officeDocument/2006/relationships/hyperlink" Target="https://drive.google.com/file/d/1QryssVRZx1gaVXGVpHxqEfTllqz2qDJm/view?usp=sharing" TargetMode="External"/><Relationship Id="rId402" Type="http://schemas.openxmlformats.org/officeDocument/2006/relationships/hyperlink" Target="https://drive.google.com/a/uesc.br/file/d/0B9a5BtXYBva5ZXJkV1MzXzk3aWM/view?usp=sharing" TargetMode="External"/><Relationship Id="rId523" Type="http://schemas.openxmlformats.org/officeDocument/2006/relationships/hyperlink" Target="https://drive.google.com/file/d/1AhlkZxYFa0COfp49bv_XuzEDl0oMP8DO/view?usp=sharing" TargetMode="External"/><Relationship Id="rId644" Type="http://schemas.openxmlformats.org/officeDocument/2006/relationships/hyperlink" Target="https://drive.google.com/file/d/1QryssVRZx1gaVXGVpHxqEfTllqz2qDJm/view?usp=sharing" TargetMode="External"/><Relationship Id="rId401" Type="http://schemas.openxmlformats.org/officeDocument/2006/relationships/hyperlink" Target="https://drive.google.com/file/d/1cUxc8WlEYDvgtnHls7TUr_5TN9s3DOg7/view?usp=sharing" TargetMode="External"/><Relationship Id="rId522" Type="http://schemas.openxmlformats.org/officeDocument/2006/relationships/hyperlink" Target="https://drive.google.com/file/d/1nAbh6F50o3lcuh2YfylBfwVZVfyBvckT/view?usp=sharing" TargetMode="External"/><Relationship Id="rId643" Type="http://schemas.openxmlformats.org/officeDocument/2006/relationships/hyperlink" Target="https://drive.google.com/file/d/1SlcClwaIygCdeJ_w154-3pxCdeb4FxKE/view?usp=sharing" TargetMode="External"/><Relationship Id="rId408" Type="http://schemas.openxmlformats.org/officeDocument/2006/relationships/hyperlink" Target="https://drive.google.com/a/uesc.br/file/d/0B9a5BtXYBva5TlB2TFVoM2ltZDQ/view?usp=sharing" TargetMode="External"/><Relationship Id="rId529" Type="http://schemas.openxmlformats.org/officeDocument/2006/relationships/hyperlink" Target="https://drive.google.com/open?id=1eiiJYFVY_77lq9YgAZJsCGUMfRVDPlCE" TargetMode="External"/><Relationship Id="rId407" Type="http://schemas.openxmlformats.org/officeDocument/2006/relationships/hyperlink" Target="https://drive.google.com/file/d/1lu-fv6Y4yz7HScPw8aEX4d4mjdOpbGLJ/view?usp=sharing" TargetMode="External"/><Relationship Id="rId528" Type="http://schemas.openxmlformats.org/officeDocument/2006/relationships/hyperlink" Target="https://drive.google.com/file/d/1MdqsD1sPYhmW1bEvtHkSPHd4-nJ2nyVi/view?usp=sharing" TargetMode="External"/><Relationship Id="rId649" Type="http://schemas.openxmlformats.org/officeDocument/2006/relationships/hyperlink" Target="https://drive.google.com/file/d/1UN0TdoQRi2cN9CQ9GOyHjcdJiqL0kW92/view?usp=sharing" TargetMode="External"/><Relationship Id="rId406" Type="http://schemas.openxmlformats.org/officeDocument/2006/relationships/hyperlink" Target="https://drive.google.com/a/uesc.br/file/d/0B9a5BtXYBva5QTdsQlRfNzhIVnc/view?usp=sharing" TargetMode="External"/><Relationship Id="rId527" Type="http://schemas.openxmlformats.org/officeDocument/2006/relationships/hyperlink" Target="https://drive.google.com/file/d/1cgy25KCgj6uwYR4M43z4xG7Gxsi-Keg_/view?usp=sharing" TargetMode="External"/><Relationship Id="rId648" Type="http://schemas.openxmlformats.org/officeDocument/2006/relationships/hyperlink" Target="https://drive.google.com/file/d/1UN0TdoQRi2cN9CQ9GOyHjcdJiqL0kW92/view?usp=sharing" TargetMode="External"/><Relationship Id="rId405" Type="http://schemas.openxmlformats.org/officeDocument/2006/relationships/hyperlink" Target="https://drive.google.com/file/d/1eyvyfXR9z1epPcEcLAvXV_-mWoNeQR3C/view?usp=sharing" TargetMode="External"/><Relationship Id="rId526" Type="http://schemas.openxmlformats.org/officeDocument/2006/relationships/hyperlink" Target="https://drive.google.com/file/d/1BBtcvI14x4sI8QyrHDgXpVZznVTP9Dss/view?usp=sharing" TargetMode="External"/><Relationship Id="rId647" Type="http://schemas.openxmlformats.org/officeDocument/2006/relationships/hyperlink" Target="https://drive.google.com/file/d/18G1ooHkmerQ__Tf0p96gv02FGVJqHy-Y/view?usp=sharing" TargetMode="External"/><Relationship Id="rId26" Type="http://schemas.openxmlformats.org/officeDocument/2006/relationships/hyperlink" Target="https://drive.google.com/file/d/0B9a5BtXYBva5U2lONWtIVFpHTUE/view?usp=sharing" TargetMode="External"/><Relationship Id="rId25" Type="http://schemas.openxmlformats.org/officeDocument/2006/relationships/hyperlink" Target="https://drive.google.com/file/d/0B9a5BtXYBva5eDhUTVRjX3gyVGc/view?usp=sharing" TargetMode="External"/><Relationship Id="rId28" Type="http://schemas.openxmlformats.org/officeDocument/2006/relationships/hyperlink" Target="https://drive.google.com/file/d/0B9a5BtXYBva5TDJnUDNQdDUteTQ/view?usp=sharing" TargetMode="External"/><Relationship Id="rId27" Type="http://schemas.openxmlformats.org/officeDocument/2006/relationships/hyperlink" Target="https://drive.google.com/file/d/0B9a5BtXYBva5OTEzT3hEOUhJT3M/view?usp=sharing" TargetMode="External"/><Relationship Id="rId400" Type="http://schemas.openxmlformats.org/officeDocument/2006/relationships/hyperlink" Target="https://drive.google.com/a/uesc.br/file/d/0B9a5BtXYBva5MDFtdkRYWHMtV1E/view?usp=sharing" TargetMode="External"/><Relationship Id="rId521" Type="http://schemas.openxmlformats.org/officeDocument/2006/relationships/hyperlink" Target="https://drive.google.com/open?id=1auMxqBi1-noT_Vgys4fnpD7Dzn5aYynZ" TargetMode="External"/><Relationship Id="rId642" Type="http://schemas.openxmlformats.org/officeDocument/2006/relationships/hyperlink" Target="https://drive.google.com/file/d/1SlcClwaIygCdeJ_w154-3pxCdeb4FxKE/view?usp=sharing" TargetMode="External"/><Relationship Id="rId29" Type="http://schemas.openxmlformats.org/officeDocument/2006/relationships/hyperlink" Target="https://drive.google.com/file/d/0B9a5BtXYBva5Qkc3bjlzU0JBUGc/view?usp=sharing" TargetMode="External"/><Relationship Id="rId520" Type="http://schemas.openxmlformats.org/officeDocument/2006/relationships/hyperlink" Target="https://drive.google.com/file/d/1F9sKZuJAK5iKu2rra5I-lgyouybBHqSF/view?usp=sharing" TargetMode="External"/><Relationship Id="rId641" Type="http://schemas.openxmlformats.org/officeDocument/2006/relationships/hyperlink" Target="https://drive.google.com/file/d/1586o8h-AYDVwiFjk-RhvEzMPHGvbwuFt/view?usp=sharing" TargetMode="External"/><Relationship Id="rId640" Type="http://schemas.openxmlformats.org/officeDocument/2006/relationships/hyperlink" Target="https://drive.google.com/file/d/1586o8h-AYDVwiFjk-RhvEzMPHGvbwuFt/view?usp=sharing" TargetMode="External"/><Relationship Id="rId11" Type="http://schemas.openxmlformats.org/officeDocument/2006/relationships/hyperlink" Target="https://drive.google.com/file/d/0B9a5BtXYBva5VFNzS2dTZzFHNms/view?usp=sharing" TargetMode="External"/><Relationship Id="rId10" Type="http://schemas.openxmlformats.org/officeDocument/2006/relationships/hyperlink" Target="https://drive.google.com/file/d/0B9a5BtXYBva5Yl85SmoxMXVVdW8/view?usp=sharing" TargetMode="External"/><Relationship Id="rId13" Type="http://schemas.openxmlformats.org/officeDocument/2006/relationships/hyperlink" Target="https://drive.google.com/file/d/0B9a5BtXYBva5aEZsdWZzSzMyTVU/view?usp=sharing" TargetMode="External"/><Relationship Id="rId12" Type="http://schemas.openxmlformats.org/officeDocument/2006/relationships/hyperlink" Target="https://drive.google.com/file/d/0B9a5BtXYBva5WFRBMTU5eGFDYVE/view?usp=sharing" TargetMode="External"/><Relationship Id="rId519" Type="http://schemas.openxmlformats.org/officeDocument/2006/relationships/hyperlink" Target="https://drive.google.com/file/d/1zTVi0XYizRoMNSflDqc_k1JHe91CEgQC/view?usp=sharing" TargetMode="External"/><Relationship Id="rId514" Type="http://schemas.openxmlformats.org/officeDocument/2006/relationships/hyperlink" Target="https://drive.google.com/file/d/1uOUK00Wh00v8NdqFuWln3QpOdXmfAlK-/view?usp=sharing" TargetMode="External"/><Relationship Id="rId635" Type="http://schemas.openxmlformats.org/officeDocument/2006/relationships/hyperlink" Target="https://drive.google.com/file/d/1zDAlUBG75S1GPkDiOH596RwDG61lHSLL/view?usp=sharing" TargetMode="External"/><Relationship Id="rId513" Type="http://schemas.openxmlformats.org/officeDocument/2006/relationships/hyperlink" Target="https://drive.google.com/open?id=1xMBB_nJGQXQe5cnZ3vFvwoATT-U9l2Xy" TargetMode="External"/><Relationship Id="rId634" Type="http://schemas.openxmlformats.org/officeDocument/2006/relationships/hyperlink" Target="https://drive.google.com/file/d/1zDAlUBG75S1GPkDiOH596RwDG61lHSLL/view?usp=sharing" TargetMode="External"/><Relationship Id="rId512" Type="http://schemas.openxmlformats.org/officeDocument/2006/relationships/hyperlink" Target="https://drive.google.com/file/d/1fLlxxxTHT2_271ARrH41tCezGAEPdDSi/view?usp=sharing" TargetMode="External"/><Relationship Id="rId633" Type="http://schemas.openxmlformats.org/officeDocument/2006/relationships/hyperlink" Target="https://drive.google.com/file/d/1M0nf9EN4X0y3EV5BAPUdQrNBy4pGKmEA/view?usp=sharing" TargetMode="External"/><Relationship Id="rId511" Type="http://schemas.openxmlformats.org/officeDocument/2006/relationships/hyperlink" Target="https://drive.google.com/file/d/1lxVbSmIXQUfXsauxktNPW0et3DkwmaXT/view?usp=sharing" TargetMode="External"/><Relationship Id="rId632" Type="http://schemas.openxmlformats.org/officeDocument/2006/relationships/hyperlink" Target="https://drive.google.com/file/d/1M0nf9EN4X0y3EV5BAPUdQrNBy4pGKmEA/view?usp=sharing" TargetMode="External"/><Relationship Id="rId518" Type="http://schemas.openxmlformats.org/officeDocument/2006/relationships/hyperlink" Target="https://drive.google.com/file/d/1WKQlQfQkE0kCTb7nKGXgsVxFg699qgUP/view?usp=sharing" TargetMode="External"/><Relationship Id="rId639" Type="http://schemas.openxmlformats.org/officeDocument/2006/relationships/hyperlink" Target="https://drive.google.com/file/d/1P7MGd57emNv8qaJQeiiDrMQY6UnQLZt5/view?usp=sharing" TargetMode="External"/><Relationship Id="rId517" Type="http://schemas.openxmlformats.org/officeDocument/2006/relationships/hyperlink" Target="https://drive.google.com/file/d/1fBd49TIoqmwLK8rtEjnQUnd4UBRnlAcm/view?usp=sharing" TargetMode="External"/><Relationship Id="rId638" Type="http://schemas.openxmlformats.org/officeDocument/2006/relationships/hyperlink" Target="https://drive.google.com/file/d/1P7MGd57emNv8qaJQeiiDrMQY6UnQLZt5/view?usp=sharing" TargetMode="External"/><Relationship Id="rId516" Type="http://schemas.openxmlformats.org/officeDocument/2006/relationships/hyperlink" Target="https://drive.google.com/file/d/134HrxvhHq17mYWuirlpVLlSQaQQZhMww/view?usp=sharing" TargetMode="External"/><Relationship Id="rId637" Type="http://schemas.openxmlformats.org/officeDocument/2006/relationships/hyperlink" Target="https://drive.google.com/file/d/133t0LSVrHI4JrlwHot6UCY_usGE2HVkz/view?usp=sharing" TargetMode="External"/><Relationship Id="rId515" Type="http://schemas.openxmlformats.org/officeDocument/2006/relationships/hyperlink" Target="https://drive.google.com/file/d/1DOHLSMGJA3V5XDzm7u04pmhAuZZDnLNa/view?usp=sharing" TargetMode="External"/><Relationship Id="rId636" Type="http://schemas.openxmlformats.org/officeDocument/2006/relationships/hyperlink" Target="https://drive.google.com/file/d/133t0LSVrHI4JrlwHot6UCY_usGE2HVkz/view?usp=sharing" TargetMode="External"/><Relationship Id="rId15" Type="http://schemas.openxmlformats.org/officeDocument/2006/relationships/hyperlink" Target="https://drive.google.com/file/d/0B9a5BtXYBva5WG9RdDdCV0JsY3c/view?usp=sharing" TargetMode="External"/><Relationship Id="rId14" Type="http://schemas.openxmlformats.org/officeDocument/2006/relationships/hyperlink" Target="https://drive.google.com/file/d/0B9a5BtXYBva5OC1RSlBHMUlmNFk/view?usp=sharing" TargetMode="External"/><Relationship Id="rId17" Type="http://schemas.openxmlformats.org/officeDocument/2006/relationships/hyperlink" Target="https://drive.google.com/file/d/0B9a5BtXYBva5MHM3U1otbWNYR28/view?usp=sharing" TargetMode="External"/><Relationship Id="rId16" Type="http://schemas.openxmlformats.org/officeDocument/2006/relationships/hyperlink" Target="https://drive.google.com/file/d/0B9a5BtXYBva5cDR0WEZ0YnpvNGs/view?usp=sharing" TargetMode="External"/><Relationship Id="rId19" Type="http://schemas.openxmlformats.org/officeDocument/2006/relationships/hyperlink" Target="https://drive.google.com/file/d/0B9a5BtXYBva5bE55VmJfLWp5NWM/view?usp=sharing" TargetMode="External"/><Relationship Id="rId510" Type="http://schemas.openxmlformats.org/officeDocument/2006/relationships/hyperlink" Target="https://drive.google.com/file/d/1kAxJ_PTHBMihB8vtnVt--lyyOfLxRVuK/view?usp=sharing" TargetMode="External"/><Relationship Id="rId631" Type="http://schemas.openxmlformats.org/officeDocument/2006/relationships/hyperlink" Target="https://drive.google.com/file/d/1iCJzMLaJlt8QIqz6gat_-FDobjBMA_w1/view?usp=sharing" TargetMode="External"/><Relationship Id="rId18" Type="http://schemas.openxmlformats.org/officeDocument/2006/relationships/hyperlink" Target="https://drive.google.com/file/d/0B9a5BtXYBva5VlotMGxPNkhpZDg/view?usp=sharing" TargetMode="External"/><Relationship Id="rId630" Type="http://schemas.openxmlformats.org/officeDocument/2006/relationships/hyperlink" Target="https://drive.google.com/file/d/1iCJzMLaJlt8QIqz6gat_-FDobjBMA_w1/view?usp=sharing" TargetMode="External"/><Relationship Id="rId84" Type="http://schemas.openxmlformats.org/officeDocument/2006/relationships/hyperlink" Target="https://drive.google.com/file/d/0B9a5BtXYBva5ZUNrd2FPZGpfTU0/view?usp=sharing" TargetMode="External"/><Relationship Id="rId83" Type="http://schemas.openxmlformats.org/officeDocument/2006/relationships/hyperlink" Target="https://drive.google.com/file/d/0B9a5BtXYBva5X3B0WGNnZHRMOVU/view?usp=sharing" TargetMode="External"/><Relationship Id="rId86" Type="http://schemas.openxmlformats.org/officeDocument/2006/relationships/hyperlink" Target="https://drive.google.com/file/d/0B9a5BtXYBva5NW5keF9FN1U1djQ/view?usp=sharing" TargetMode="External"/><Relationship Id="rId85" Type="http://schemas.openxmlformats.org/officeDocument/2006/relationships/hyperlink" Target="https://drive.google.com/file/d/0B9a5BtXYBva5TnRDTG5DRDBac1E/view?usp=sharing" TargetMode="External"/><Relationship Id="rId88" Type="http://schemas.openxmlformats.org/officeDocument/2006/relationships/hyperlink" Target="https://drive.google.com/file/d/0B9a5BtXYBva5NGtUYl9WcDRWaG8/view?usp=sharing" TargetMode="External"/><Relationship Id="rId87" Type="http://schemas.openxmlformats.org/officeDocument/2006/relationships/hyperlink" Target="https://drive.google.com/file/d/0B9a5BtXYBva5Q0pxSmhsSkRPdnc/view?usp=sharing" TargetMode="External"/><Relationship Id="rId89" Type="http://schemas.openxmlformats.org/officeDocument/2006/relationships/hyperlink" Target="https://drive.google.com/file/d/0B9a5BtXYBva5UnRSS2lSWUVRX2s/view?usp=sharing" TargetMode="External"/><Relationship Id="rId708" Type="http://schemas.openxmlformats.org/officeDocument/2006/relationships/drawing" Target="../drawings/drawing1.xml"/><Relationship Id="rId707" Type="http://schemas.openxmlformats.org/officeDocument/2006/relationships/hyperlink" Target="https://drive.google.com/file/d/17TtOwTGW5rAsTsixYyLZL9WtYEGn09c4/view?usp=sharing" TargetMode="External"/><Relationship Id="rId706" Type="http://schemas.openxmlformats.org/officeDocument/2006/relationships/hyperlink" Target="https://drive.google.com/file/d/17TtOwTGW5rAsTsixYyLZL9WtYEGn09c4/view?usp=sharing" TargetMode="External"/><Relationship Id="rId80" Type="http://schemas.openxmlformats.org/officeDocument/2006/relationships/hyperlink" Target="https://drive.google.com/file/d/0B9a5BtXYBva5QWJZbXJ2Uzh3a00/view?usp=sharing" TargetMode="External"/><Relationship Id="rId82" Type="http://schemas.openxmlformats.org/officeDocument/2006/relationships/hyperlink" Target="https://drive.google.com/file/d/0B9a5BtXYBva5NGQtTVQ4dHhwdVE/view?usp=sharing" TargetMode="External"/><Relationship Id="rId81" Type="http://schemas.openxmlformats.org/officeDocument/2006/relationships/hyperlink" Target="https://drive.google.com/file/d/0B9a5BtXYBva5VFVaSVQyYmx5X1k/view?usp=sharing" TargetMode="External"/><Relationship Id="rId701" Type="http://schemas.openxmlformats.org/officeDocument/2006/relationships/hyperlink" Target="https://drive.google.com/file/d/15iL_BIa_69S0NzjJb5wD3iJhnpL2d8Ni/view?usp=sharing" TargetMode="External"/><Relationship Id="rId700" Type="http://schemas.openxmlformats.org/officeDocument/2006/relationships/hyperlink" Target="https://drive.google.com/file/d/15iL_BIa_69S0NzjJb5wD3iJhnpL2d8Ni/view?usp=sharing" TargetMode="External"/><Relationship Id="rId705" Type="http://schemas.openxmlformats.org/officeDocument/2006/relationships/hyperlink" Target="https://drive.google.com/file/d/1zdMAvm1xAmhTZ0aHwZXSrHaELKThT6Sk/view?usp=sharing" TargetMode="External"/><Relationship Id="rId704" Type="http://schemas.openxmlformats.org/officeDocument/2006/relationships/hyperlink" Target="https://drive.google.com/file/d/1zdMAvm1xAmhTZ0aHwZXSrHaELKThT6Sk/view?usp=sharing" TargetMode="External"/><Relationship Id="rId703" Type="http://schemas.openxmlformats.org/officeDocument/2006/relationships/hyperlink" Target="https://drive.google.com/file/d/1rqL1BnMQK_tiFIUc_tvAvr267JDi3fH1/view?usp=sharing" TargetMode="External"/><Relationship Id="rId702" Type="http://schemas.openxmlformats.org/officeDocument/2006/relationships/hyperlink" Target="https://drive.google.com/file/d/1rqL1BnMQK_tiFIUc_tvAvr267JDi3fH1/view?usp=sharing" TargetMode="External"/><Relationship Id="rId73" Type="http://schemas.openxmlformats.org/officeDocument/2006/relationships/hyperlink" Target="https://drive.google.com/file/d/0B9a5BtXYBva5SjQtTmtXUm9LZ0E/view?usp=sharing" TargetMode="External"/><Relationship Id="rId72" Type="http://schemas.openxmlformats.org/officeDocument/2006/relationships/hyperlink" Target="https://drive.google.com/open?id=1h35a6uFfGNoGIadFQb8nP5rGtjLGvfNJ" TargetMode="External"/><Relationship Id="rId75" Type="http://schemas.openxmlformats.org/officeDocument/2006/relationships/hyperlink" Target="https://drive.google.com/file/d/0B9a5BtXYBva5OEgzS0ZfSkwteEU/view?usp=sharing" TargetMode="External"/><Relationship Id="rId74" Type="http://schemas.openxmlformats.org/officeDocument/2006/relationships/hyperlink" Target="https://drive.google.com/file/d/0B9a5BtXYBva5TkNTd05wLU82RWM/view?usp=sharing" TargetMode="External"/><Relationship Id="rId77" Type="http://schemas.openxmlformats.org/officeDocument/2006/relationships/hyperlink" Target="https://drive.google.com/file/d/0B9a5BtXYBva5dGdnV2NFV1hUNlk/view?usp=sharing" TargetMode="External"/><Relationship Id="rId76" Type="http://schemas.openxmlformats.org/officeDocument/2006/relationships/hyperlink" Target="https://drive.google.com/file/d/0B9a5BtXYBva5UF9xNmNxRDJaN1k/view?usp=sharing" TargetMode="External"/><Relationship Id="rId79" Type="http://schemas.openxmlformats.org/officeDocument/2006/relationships/hyperlink" Target="https://drive.google.com/file/d/0B9a5BtXYBva5dmNyMzM0VzIzdzQ/view?usp=sharing" TargetMode="External"/><Relationship Id="rId78" Type="http://schemas.openxmlformats.org/officeDocument/2006/relationships/hyperlink" Target="https://drive.google.com/file/d/0B9a5BtXYBva5Y1RHNE1WWEhQcXM/view?usp=sharing" TargetMode="External"/><Relationship Id="rId71" Type="http://schemas.openxmlformats.org/officeDocument/2006/relationships/hyperlink" Target="https://drive.google.com/file/d/0B9a5BtXYBva5Z2x5X1pCU0plWTA/view?usp=sharing" TargetMode="External"/><Relationship Id="rId70" Type="http://schemas.openxmlformats.org/officeDocument/2006/relationships/hyperlink" Target="https://drive.google.com/file/d/0B9a5BtXYBva5MkNQTVY1YjJsNGc/view?usp=sharing" TargetMode="External"/><Relationship Id="rId62" Type="http://schemas.openxmlformats.org/officeDocument/2006/relationships/hyperlink" Target="https://drive.google.com/file/d/0B9a5BtXYBva5U2F5bk5MZUxLaWc/view?usp=sharing" TargetMode="External"/><Relationship Id="rId61" Type="http://schemas.openxmlformats.org/officeDocument/2006/relationships/hyperlink" Target="https://drive.google.com/file/d/0B9a5BtXYBva5NTBBNUxEbE55OXc/view?usp=sharing" TargetMode="External"/><Relationship Id="rId64" Type="http://schemas.openxmlformats.org/officeDocument/2006/relationships/hyperlink" Target="https://drive.google.com/file/d/0B9a5BtXYBva5YXBQNUpzZndzN0k/view?usp=sharing" TargetMode="External"/><Relationship Id="rId63" Type="http://schemas.openxmlformats.org/officeDocument/2006/relationships/hyperlink" Target="https://drive.google.com/file/d/0B9a5BtXYBva5aHBSbkV2TkJEeTA/view?usp=sharing" TargetMode="External"/><Relationship Id="rId66" Type="http://schemas.openxmlformats.org/officeDocument/2006/relationships/hyperlink" Target="https://drive.google.com/file/d/0B9a5BtXYBva5c25sWmJQSzVpOGc/view?usp=sharing" TargetMode="External"/><Relationship Id="rId65" Type="http://schemas.openxmlformats.org/officeDocument/2006/relationships/hyperlink" Target="https://drive.google.com/file/d/0B9a5BtXYBva5NWFZV1VURUwtWlU/view?usp=sharing" TargetMode="External"/><Relationship Id="rId68" Type="http://schemas.openxmlformats.org/officeDocument/2006/relationships/hyperlink" Target="https://drive.google.com/file/d/0B9a5BtXYBva5bE1oZGlNZVNjSUE/view?usp=sharing" TargetMode="External"/><Relationship Id="rId67" Type="http://schemas.openxmlformats.org/officeDocument/2006/relationships/hyperlink" Target="https://drive.google.com/file/d/0B9a5BtXYBva5eUJDZFBlNjc0Zms/view?usp=sharing" TargetMode="External"/><Relationship Id="rId609" Type="http://schemas.openxmlformats.org/officeDocument/2006/relationships/hyperlink" Target="https://drive.google.com/file/d/1ftIIQW5Ud2nomgOSsRrXTpOTovHk3LEa/view?usp=sharing" TargetMode="External"/><Relationship Id="rId608" Type="http://schemas.openxmlformats.org/officeDocument/2006/relationships/hyperlink" Target="https://drive.google.com/open?id=1jg3RfnpxXo8Az1SENSCIcGoGi4-ysPN-" TargetMode="External"/><Relationship Id="rId607" Type="http://schemas.openxmlformats.org/officeDocument/2006/relationships/hyperlink" Target="https://drive.google.com/file/d/1Hk2YU-izX2RHW3a5KT9OaDeIs6G6G0E0/view?usp=sharing" TargetMode="External"/><Relationship Id="rId60" Type="http://schemas.openxmlformats.org/officeDocument/2006/relationships/hyperlink" Target="https://drive.google.com/file/d/0B9a5BtXYBva5UFc0Nk85RjFBZnM/view?usp=sharing" TargetMode="External"/><Relationship Id="rId602" Type="http://schemas.openxmlformats.org/officeDocument/2006/relationships/hyperlink" Target="https://drive.google.com/open?id=1jCeuPfiT9wZokeqxkhcsBGGRLpK2zejV" TargetMode="External"/><Relationship Id="rId601" Type="http://schemas.openxmlformats.org/officeDocument/2006/relationships/hyperlink" Target="https://drive.google.com/file/d/1SsHdz30L2XLmnuVUfalIimgRZODN8gpS/view?usp=sharing" TargetMode="External"/><Relationship Id="rId600" Type="http://schemas.openxmlformats.org/officeDocument/2006/relationships/hyperlink" Target="https://drive.google.com/open?id=1cyXGzarhlL21v66Ef8jaoT10C8LKrhl_" TargetMode="External"/><Relationship Id="rId606" Type="http://schemas.openxmlformats.org/officeDocument/2006/relationships/hyperlink" Target="https://drive.google.com/open?id=1RvIACbAYRFkhCmsZseRAGitHv__Dabrn" TargetMode="External"/><Relationship Id="rId605" Type="http://schemas.openxmlformats.org/officeDocument/2006/relationships/hyperlink" Target="https://drive.google.com/file/d/19rMOh7y7VYHhASS-UmAg9r_i5w9kt2xs/view?usp=sharing" TargetMode="External"/><Relationship Id="rId604" Type="http://schemas.openxmlformats.org/officeDocument/2006/relationships/hyperlink" Target="https://drive.google.com/open?id=1ucJZ1NCUMvGSLO7SVRnYfRzqPGixo2D6" TargetMode="External"/><Relationship Id="rId603" Type="http://schemas.openxmlformats.org/officeDocument/2006/relationships/hyperlink" Target="https://drive.google.com/file/d/1cXqZxJ--QD_5XVRaTjhm9MfdO_z5iBeM/view?usp=sharing" TargetMode="External"/><Relationship Id="rId69" Type="http://schemas.openxmlformats.org/officeDocument/2006/relationships/hyperlink" Target="https://drive.google.com/file/d/0B9a5BtXYBva5MVlCdnBLX0FQV28/view?usp=sharing" TargetMode="External"/><Relationship Id="rId51" Type="http://schemas.openxmlformats.org/officeDocument/2006/relationships/hyperlink" Target="https://drive.google.com/file/d/0B9a5BtXYBva5REhmaWE3MVF3Vk0/view?usp=sharing" TargetMode="External"/><Relationship Id="rId50" Type="http://schemas.openxmlformats.org/officeDocument/2006/relationships/hyperlink" Target="https://drive.google.com/file/d/0B9a5BtXYBva5OHYycWgwUjA2SDQ/view?usp=sharing" TargetMode="External"/><Relationship Id="rId53" Type="http://schemas.openxmlformats.org/officeDocument/2006/relationships/hyperlink" Target="https://drive.google.com/file/d/0B9a5BtXYBva5amYwSko2ZXREMTA/view?usp=sharing" TargetMode="External"/><Relationship Id="rId52" Type="http://schemas.openxmlformats.org/officeDocument/2006/relationships/hyperlink" Target="https://drive.google.com/file/d/0B9a5BtXYBva5X1RZeFZsNUxZTUk/view?usp=sharing" TargetMode="External"/><Relationship Id="rId55" Type="http://schemas.openxmlformats.org/officeDocument/2006/relationships/hyperlink" Target="https://drive.google.com/file/d/0B9a5BtXYBva5b1dLZDRGeUdOdUk/view?usp=sharing" TargetMode="External"/><Relationship Id="rId54" Type="http://schemas.openxmlformats.org/officeDocument/2006/relationships/hyperlink" Target="https://drive.google.com/file/d/0B9a5BtXYBva5UmZvU2pBckdyVXc/view?usp=sharing" TargetMode="External"/><Relationship Id="rId57" Type="http://schemas.openxmlformats.org/officeDocument/2006/relationships/hyperlink" Target="https://drive.google.com/file/d/0B9a5BtXYBva5S0FsZHdhT2tIN1k/view?usp=sharing" TargetMode="External"/><Relationship Id="rId56" Type="http://schemas.openxmlformats.org/officeDocument/2006/relationships/hyperlink" Target="https://drive.google.com/file/d/0B9a5BtXYBva5dzNfdTd5ZFlNTFE/view?usp=sharing" TargetMode="External"/><Relationship Id="rId59" Type="http://schemas.openxmlformats.org/officeDocument/2006/relationships/hyperlink" Target="https://drive.google.com/file/d/0B9a5BtXYBva5S0VnV3cyRkNReTg/view?usp=sharing" TargetMode="External"/><Relationship Id="rId58" Type="http://schemas.openxmlformats.org/officeDocument/2006/relationships/hyperlink" Target="https://drive.google.com/file/d/0B9a5BtXYBva5bVNaZklBMFp5TWc/view?usp=sharing" TargetMode="External"/><Relationship Id="rId590" Type="http://schemas.openxmlformats.org/officeDocument/2006/relationships/hyperlink" Target="https://drive.google.com/open?id=1Aq4i0OZXbTiJY31WPaXNo41ymnM19p9d" TargetMode="External"/><Relationship Id="rId107" Type="http://schemas.openxmlformats.org/officeDocument/2006/relationships/hyperlink" Target="https://drive.google.com/file/d/0B9a5BtXYBva5TFN1YTdEeDNKMk0/view?usp=sharing" TargetMode="External"/><Relationship Id="rId228" Type="http://schemas.openxmlformats.org/officeDocument/2006/relationships/hyperlink" Target="https://drive.google.com/file/d/0B9a5BtXYBva5OTc0akNFOUFBUTA/view?usp=sharing" TargetMode="External"/><Relationship Id="rId349" Type="http://schemas.openxmlformats.org/officeDocument/2006/relationships/hyperlink" Target="https://drive.google.com/file/d/1ajPIoC98ygWQv9N32YME-ZIJEbqVm95O/view?usp=sharing" TargetMode="External"/><Relationship Id="rId106" Type="http://schemas.openxmlformats.org/officeDocument/2006/relationships/hyperlink" Target="https://drive.google.com/file/d/0B9a5BtXYBva5bU9ySmVQQ3JIRWs/view?usp=sharing" TargetMode="External"/><Relationship Id="rId227" Type="http://schemas.openxmlformats.org/officeDocument/2006/relationships/hyperlink" Target="https://drive.google.com/file/d/0B9a5BtXYBva5RExyT0E5OUtMZDA/view?usp=sharing" TargetMode="External"/><Relationship Id="rId348" Type="http://schemas.openxmlformats.org/officeDocument/2006/relationships/hyperlink" Target="https://drive.google.com/file/d/0B9a5BtXYBva5TjREblJjMExpMnc/view?usp=sharing" TargetMode="External"/><Relationship Id="rId469" Type="http://schemas.openxmlformats.org/officeDocument/2006/relationships/hyperlink" Target="https://drive.google.com/file/d/1RarIkuvF23wD1wo0O1xmn7nxkmTkBxsD/view?usp=sharing" TargetMode="External"/><Relationship Id="rId105" Type="http://schemas.openxmlformats.org/officeDocument/2006/relationships/hyperlink" Target="https://drive.google.com/file/d/0B9a5BtXYBva5Q19lZW82MGtsdEE/view?usp=sharing" TargetMode="External"/><Relationship Id="rId226" Type="http://schemas.openxmlformats.org/officeDocument/2006/relationships/hyperlink" Target="https://drive.google.com/file/d/0B9a5BtXYBva5d040R3A3RUp0bU0/view?usp=sharing" TargetMode="External"/><Relationship Id="rId347" Type="http://schemas.openxmlformats.org/officeDocument/2006/relationships/hyperlink" Target="https://drive.google.com/file/d/1Gy6OD-cGdWjMWH2Kq_ASPmSvAW6szG7a/view?usp=sharing" TargetMode="External"/><Relationship Id="rId468" Type="http://schemas.openxmlformats.org/officeDocument/2006/relationships/hyperlink" Target="https://drive.google.com/open?id=13oFuYEIgcyfRC9a99EDvncVFUm62utjZ" TargetMode="External"/><Relationship Id="rId589" Type="http://schemas.openxmlformats.org/officeDocument/2006/relationships/hyperlink" Target="https://drive.google.com/file/d/1RG4YGPCVsGiQYmetF7MFCSLU80KlQ0fx/view?usp=sharing" TargetMode="External"/><Relationship Id="rId104" Type="http://schemas.openxmlformats.org/officeDocument/2006/relationships/hyperlink" Target="https://drive.google.com/file/d/0B9a5BtXYBva5ckJMaXR5dVhkSFk/view?usp=sharing" TargetMode="External"/><Relationship Id="rId225" Type="http://schemas.openxmlformats.org/officeDocument/2006/relationships/hyperlink" Target="https://drive.google.com/file/d/0B9a5BtXYBva5NEE3NTBuQzc4NHM/view?usp=sharing" TargetMode="External"/><Relationship Id="rId346" Type="http://schemas.openxmlformats.org/officeDocument/2006/relationships/hyperlink" Target="https://drive.google.com/file/d/0B9a5BtXYBva5M2xZbFF0ejc2M1U/view?usp=sharing" TargetMode="External"/><Relationship Id="rId467" Type="http://schemas.openxmlformats.org/officeDocument/2006/relationships/hyperlink" Target="https://drive.google.com/file/d/1auml2hBjMq3xP6LlR1_GnLqDG3I0Z9bW/view?usp=sharing" TargetMode="External"/><Relationship Id="rId588" Type="http://schemas.openxmlformats.org/officeDocument/2006/relationships/hyperlink" Target="https://drive.google.com/open?id=16F0VetVVc5U3irYz7gNOWG0xJkgdei4t" TargetMode="External"/><Relationship Id="rId109" Type="http://schemas.openxmlformats.org/officeDocument/2006/relationships/hyperlink" Target="https://drive.google.com/file/d/0B9a5BtXYBva5ZXA2elA5cWVVV1U/view?usp=sharing" TargetMode="External"/><Relationship Id="rId108" Type="http://schemas.openxmlformats.org/officeDocument/2006/relationships/hyperlink" Target="https://drive.google.com/file/d/0B9a5BtXYBva5b3dmck13MVlDWUk/view?usp=sharing" TargetMode="External"/><Relationship Id="rId229" Type="http://schemas.openxmlformats.org/officeDocument/2006/relationships/hyperlink" Target="https://drive.google.com/file/d/0B9a5BtXYBva5bENlWU1DZllWTjA/view?usp=sharing" TargetMode="External"/><Relationship Id="rId220" Type="http://schemas.openxmlformats.org/officeDocument/2006/relationships/hyperlink" Target="https://drive.google.com/file/d/0B9a5BtXYBva5TDBHSFpCM3ZYTmc/view?usp=sharing" TargetMode="External"/><Relationship Id="rId341" Type="http://schemas.openxmlformats.org/officeDocument/2006/relationships/hyperlink" Target="https://drive.google.com/file/d/1n52GuKjsvrY82Lu1K09wHBvtA6qHzXB0/view?usp=sharing" TargetMode="External"/><Relationship Id="rId462" Type="http://schemas.openxmlformats.org/officeDocument/2006/relationships/hyperlink" Target="https://drive.google.com/file/d/1MTEg7vKV8elrC98ID_r3bKkOd7Znyre1/view?usp=sharing" TargetMode="External"/><Relationship Id="rId583" Type="http://schemas.openxmlformats.org/officeDocument/2006/relationships/hyperlink" Target="https://drive.google.com/file/d/1gWu5jb2Bf6EfEpSUFoZPmJU_SBh0ZCIR/view?usp=sharing" TargetMode="External"/><Relationship Id="rId340" Type="http://schemas.openxmlformats.org/officeDocument/2006/relationships/hyperlink" Target="https://drive.google.com/file/d/0B9a5BtXYBva5a3ptS3daNHNoY0k/view?usp=sharing" TargetMode="External"/><Relationship Id="rId461" Type="http://schemas.openxmlformats.org/officeDocument/2006/relationships/hyperlink" Target="https://drive.google.com/file/d/1vPWeg_O33bHiwtpXL3U_2nBdUIBEs3ML/view?usp=sharing" TargetMode="External"/><Relationship Id="rId582" Type="http://schemas.openxmlformats.org/officeDocument/2006/relationships/hyperlink" Target="https://drive.google.com/open?id=1QW-StQKSp2s-TUE25UF1cWr82N0RWEQY" TargetMode="External"/><Relationship Id="rId460" Type="http://schemas.openxmlformats.org/officeDocument/2006/relationships/hyperlink" Target="https://drive.google.com/file/d/1PpvQId8MSnY6T4xu826iWD3vnjdXVt-v/view?usp=sharing" TargetMode="External"/><Relationship Id="rId581" Type="http://schemas.openxmlformats.org/officeDocument/2006/relationships/hyperlink" Target="https://drive.google.com/file/d/1f9_4DrHpsYmobucNdj8R2uTderJO84y3/view?usp=sharing" TargetMode="External"/><Relationship Id="rId580" Type="http://schemas.openxmlformats.org/officeDocument/2006/relationships/hyperlink" Target="https://drive.google.com/file/d/1-508eTIvQIhKYFs5-ha0Dhb5K33j1i_M/view?usp=sharing" TargetMode="External"/><Relationship Id="rId103" Type="http://schemas.openxmlformats.org/officeDocument/2006/relationships/hyperlink" Target="https://drive.google.com/file/d/0B9a5BtXYBva5RVdIUE8wR2tYUEU/view?usp=sharing" TargetMode="External"/><Relationship Id="rId224" Type="http://schemas.openxmlformats.org/officeDocument/2006/relationships/hyperlink" Target="https://drive.google.com/file/d/0B9a5BtXYBva5aE1zXzRscld6cW8/view?usp=sharing" TargetMode="External"/><Relationship Id="rId345" Type="http://schemas.openxmlformats.org/officeDocument/2006/relationships/hyperlink" Target="https://drive.google.com/file/d/1kKyfjTSULQMZ6rxfdwhNQpzlqcKvPG5W/view?usp=sharing" TargetMode="External"/><Relationship Id="rId466" Type="http://schemas.openxmlformats.org/officeDocument/2006/relationships/hyperlink" Target="https://drive.google.com/open?id=1euH3e5WP9LbxEhLra2KN2SvJO4FPwkbV" TargetMode="External"/><Relationship Id="rId587" Type="http://schemas.openxmlformats.org/officeDocument/2006/relationships/hyperlink" Target="https://drive.google.com/file/d/1EusWgVAqf7B5rmIrMQJb_EcMgbDJYGVU/view?usp=sharing" TargetMode="External"/><Relationship Id="rId102" Type="http://schemas.openxmlformats.org/officeDocument/2006/relationships/hyperlink" Target="https://drive.google.com/file/d/0B9a5BtXYBva5dm1iYk1pSHlLczA/view?usp=sharing" TargetMode="External"/><Relationship Id="rId223" Type="http://schemas.openxmlformats.org/officeDocument/2006/relationships/hyperlink" Target="https://drive.google.com/file/d/0B9a5BtXYBva5NkVnMEdST0lJSGs/view?usp=sharing" TargetMode="External"/><Relationship Id="rId344" Type="http://schemas.openxmlformats.org/officeDocument/2006/relationships/hyperlink" Target="https://drive.google.com/file/d/0B9a5BtXYBva5VXl4dHNCZDdJajA/view?usp=sharing" TargetMode="External"/><Relationship Id="rId465" Type="http://schemas.openxmlformats.org/officeDocument/2006/relationships/hyperlink" Target="https://drive.google.com/file/d/13XJG0_W9DTl5DiDD8GQU1rSvZPOm27JS/view?usp=sharing" TargetMode="External"/><Relationship Id="rId586" Type="http://schemas.openxmlformats.org/officeDocument/2006/relationships/hyperlink" Target="https://drive.google.com/open?id=1fqOKsPJFv32ZBTxVRVewSCX_cNSpl10j" TargetMode="External"/><Relationship Id="rId101" Type="http://schemas.openxmlformats.org/officeDocument/2006/relationships/hyperlink" Target="https://drive.google.com/file/d/0B9a5BtXYBva5SXFRUEtjT0tOa00/view?usp=sharing" TargetMode="External"/><Relationship Id="rId222" Type="http://schemas.openxmlformats.org/officeDocument/2006/relationships/hyperlink" Target="https://drive.google.com/file/d/0B9a5BtXYBva5TUNDdWc2MjNFVW8/view?usp=sharing" TargetMode="External"/><Relationship Id="rId343" Type="http://schemas.openxmlformats.org/officeDocument/2006/relationships/hyperlink" Target="https://drive.google.com/file/d/1J7NP4Sza_wd4TpH0Tdq3bjjmgBuDMXPJ/view?usp=sharing" TargetMode="External"/><Relationship Id="rId464" Type="http://schemas.openxmlformats.org/officeDocument/2006/relationships/hyperlink" Target="https://drive.google.com/open?id=17-yzzJU6IYkOlFi3wb8tzwMUUOwHU2I4" TargetMode="External"/><Relationship Id="rId585" Type="http://schemas.openxmlformats.org/officeDocument/2006/relationships/hyperlink" Target="https://drive.google.com/file/d/15PMDK7UBZ1mIm1gyJk27vMNTDGUYaHQe/view?usp=sharing" TargetMode="External"/><Relationship Id="rId100" Type="http://schemas.openxmlformats.org/officeDocument/2006/relationships/hyperlink" Target="https://drive.google.com/file/d/0B9a5BtXYBva5R2psQWJHekhwSUU/view?usp=sharing" TargetMode="External"/><Relationship Id="rId221" Type="http://schemas.openxmlformats.org/officeDocument/2006/relationships/hyperlink" Target="https://drive.google.com/file/d/0B9a5BtXYBva5NWxqb2hsYlVoX0E/view?usp=sharing" TargetMode="External"/><Relationship Id="rId342" Type="http://schemas.openxmlformats.org/officeDocument/2006/relationships/hyperlink" Target="https://drive.google.com/file/d/0B9a5BtXYBva5Tkc1NzBlNVZ3WGc/view?usp=sharing" TargetMode="External"/><Relationship Id="rId463" Type="http://schemas.openxmlformats.org/officeDocument/2006/relationships/hyperlink" Target="https://drive.google.com/file/d/145JQybgCL5e-9WEovRlJxlX9yP8TwTA4/view?usp=sharing" TargetMode="External"/><Relationship Id="rId584" Type="http://schemas.openxmlformats.org/officeDocument/2006/relationships/hyperlink" Target="https://drive.google.com/open?id=1XKERj-CcMCqVkuHiyAeb6Js6UBiEjYbx" TargetMode="External"/><Relationship Id="rId217" Type="http://schemas.openxmlformats.org/officeDocument/2006/relationships/hyperlink" Target="https://drive.google.com/open?id=17BFvHMMS8rVHEYMyMztnFt0YHHl8Klwc" TargetMode="External"/><Relationship Id="rId338" Type="http://schemas.openxmlformats.org/officeDocument/2006/relationships/hyperlink" Target="https://drive.google.com/file/d/0B9a5BtXYBva5WFJmNzBDQ0szd2M/view?usp=sharing" TargetMode="External"/><Relationship Id="rId459" Type="http://schemas.openxmlformats.org/officeDocument/2006/relationships/hyperlink" Target="https://drive.google.com/file/d/1RskX5KIynX5VleVyZNpiRxdIlKZu56Qw/view?usp=sharing" TargetMode="External"/><Relationship Id="rId216" Type="http://schemas.openxmlformats.org/officeDocument/2006/relationships/hyperlink" Target="https://drive.google.com/file/d/0B9a5BtXYBva5b19EVExocnloOUE/view?usp=sharing" TargetMode="External"/><Relationship Id="rId337" Type="http://schemas.openxmlformats.org/officeDocument/2006/relationships/hyperlink" Target="https://drive.google.com/file/d/1R1EMcsb0bTpPXeO-15GRPU5OUFC08grr/view?usp=sharing" TargetMode="External"/><Relationship Id="rId458" Type="http://schemas.openxmlformats.org/officeDocument/2006/relationships/hyperlink" Target="https://drive.google.com/open?id=16LpdyA7p1JoQzUTqKXEYr6XeNYj4w_ve" TargetMode="External"/><Relationship Id="rId579" Type="http://schemas.openxmlformats.org/officeDocument/2006/relationships/hyperlink" Target="https://drive.google.com/file/d/1lkzQdAYSKh0X9Rn52vK_wCrEe3l8LLzu/view?usp=sharing" TargetMode="External"/><Relationship Id="rId215" Type="http://schemas.openxmlformats.org/officeDocument/2006/relationships/hyperlink" Target="https://drive.google.com/file/d/0B9a5BtXYBva5NFpDUzNESkFFQmc/view?usp=sharing" TargetMode="External"/><Relationship Id="rId336" Type="http://schemas.openxmlformats.org/officeDocument/2006/relationships/hyperlink" Target="https://drive.google.com/file/d/0B9a5BtXYBva5QzlvUGVjWmg5SkE/view?usp=sharing" TargetMode="External"/><Relationship Id="rId457" Type="http://schemas.openxmlformats.org/officeDocument/2006/relationships/hyperlink" Target="https://drive.google.com/file/d/1wCX9yQOgjM5ns7MOMobUOPoTjvYKxxWq/view?usp=sharing" TargetMode="External"/><Relationship Id="rId578" Type="http://schemas.openxmlformats.org/officeDocument/2006/relationships/hyperlink" Target="https://drive.google.com/file/d/1UXbUt5Jc3s0ZIIH9o7hrgYmVo073uvC1/view?usp=sharing" TargetMode="External"/><Relationship Id="rId699" Type="http://schemas.openxmlformats.org/officeDocument/2006/relationships/hyperlink" Target="https://drive.google.com/file/d/1XOOxb9Hr8R1Y7Lv_WESC9DF9yZLVgj1Z/view?usp=sharing" TargetMode="External"/><Relationship Id="rId214" Type="http://schemas.openxmlformats.org/officeDocument/2006/relationships/hyperlink" Target="https://drive.google.com/file/d/0B9a5BtXYBva5TzdpLUF5eUk4ZTA/view?usp=sharing" TargetMode="External"/><Relationship Id="rId335" Type="http://schemas.openxmlformats.org/officeDocument/2006/relationships/hyperlink" Target="https://drive.google.com/open?id=1BOVFFS4kJWcDr549qmo1uZIlLr1x1-x8" TargetMode="External"/><Relationship Id="rId456" Type="http://schemas.openxmlformats.org/officeDocument/2006/relationships/hyperlink" Target="https://drive.google.com/file/d/1pENLrJYnee0_Et8GOLEAyOWT5TDXMHec/view?usp=sharing" TargetMode="External"/><Relationship Id="rId577" Type="http://schemas.openxmlformats.org/officeDocument/2006/relationships/hyperlink" Target="https://drive.google.com/open?id=13jmM6I2unzAos64S6NaMwWqSgZEaf1J8" TargetMode="External"/><Relationship Id="rId698" Type="http://schemas.openxmlformats.org/officeDocument/2006/relationships/hyperlink" Target="https://drive.google.com/file/d/1XOOxb9Hr8R1Y7Lv_WESC9DF9yZLVgj1Z/view?usp=sharing" TargetMode="External"/><Relationship Id="rId219" Type="http://schemas.openxmlformats.org/officeDocument/2006/relationships/hyperlink" Target="https://drive.google.com/file/d/0B9a5BtXYBva5a3JhWWUyZUgwQnc/view?usp=sharing" TargetMode="External"/><Relationship Id="rId218" Type="http://schemas.openxmlformats.org/officeDocument/2006/relationships/hyperlink" Target="https://drive.google.com/file/d/0B9a5BtXYBva5U0hGZXFuRzl0cUU/view?usp=sharing" TargetMode="External"/><Relationship Id="rId339" Type="http://schemas.openxmlformats.org/officeDocument/2006/relationships/hyperlink" Target="https://drive.google.com/open?id=1NLELdZalraxoi0_6YLMBrdwJENnDkfUn" TargetMode="External"/><Relationship Id="rId330" Type="http://schemas.openxmlformats.org/officeDocument/2006/relationships/hyperlink" Target="https://drive.google.com/file/d/0B9a5BtXYBva5WkRqZ1RCMXRDRmM/view?usp=sharing" TargetMode="External"/><Relationship Id="rId451" Type="http://schemas.openxmlformats.org/officeDocument/2006/relationships/hyperlink" Target="https://drive.google.com/file/d/1-kmGuckVtTj3nlXIH3Bp5BvAbf6DGj4d/view?usp=sharing" TargetMode="External"/><Relationship Id="rId572" Type="http://schemas.openxmlformats.org/officeDocument/2006/relationships/hyperlink" Target="https://drive.google.com/file/d/1cPG9FMwMUIeNIlKgPQIr_mD5ixOE_v2_/view?usp=sharing" TargetMode="External"/><Relationship Id="rId693" Type="http://schemas.openxmlformats.org/officeDocument/2006/relationships/hyperlink" Target="https://drive.google.com/file/d/1m3kPbkdtrf2oxTMuGNUyxxBb8bHMpgI8/view?usp=sharing" TargetMode="External"/><Relationship Id="rId450" Type="http://schemas.openxmlformats.org/officeDocument/2006/relationships/hyperlink" Target="https://drive.google.com/a/uesc.br/file/d/0B9a5BtXYBva5dDFjSVB0TENjTUU/view?usp=sharing" TargetMode="External"/><Relationship Id="rId571" Type="http://schemas.openxmlformats.org/officeDocument/2006/relationships/hyperlink" Target="https://drive.google.com/file/d/15Y9y-VdyJ6LKmatR8sMIQ7L-lOl7a13P/view?usp=sharing" TargetMode="External"/><Relationship Id="rId692" Type="http://schemas.openxmlformats.org/officeDocument/2006/relationships/hyperlink" Target="https://drive.google.com/file/d/1m3kPbkdtrf2oxTMuGNUyxxBb8bHMpgI8/view?usp=sharing" TargetMode="External"/><Relationship Id="rId570" Type="http://schemas.openxmlformats.org/officeDocument/2006/relationships/hyperlink" Target="https://drive.google.com/file/d/1IrWN4fgh94uFQDqGZ0ZqGdI7maDK5Yfi/view?usp=sharing" TargetMode="External"/><Relationship Id="rId691" Type="http://schemas.openxmlformats.org/officeDocument/2006/relationships/hyperlink" Target="https://drive.google.com/file/d/17YPPKeJ-t4fhXNP1obb-T9kjOjO-AWT2/view?usp=sharing" TargetMode="External"/><Relationship Id="rId690" Type="http://schemas.openxmlformats.org/officeDocument/2006/relationships/hyperlink" Target="https://drive.google.com/file/d/17YPPKeJ-t4fhXNP1obb-T9kjOjO-AWT2/view?usp=sharing" TargetMode="External"/><Relationship Id="rId213" Type="http://schemas.openxmlformats.org/officeDocument/2006/relationships/hyperlink" Target="https://drive.google.com/file/d/0B9a5BtXYBva5NjlkTVVOb3g0cEk/view?usp=sharing" TargetMode="External"/><Relationship Id="rId334" Type="http://schemas.openxmlformats.org/officeDocument/2006/relationships/hyperlink" Target="https://drive.google.com/file/d/0B9a5BtXYBva5eHV4MDh1LWJObVk/view?usp=sharing" TargetMode="External"/><Relationship Id="rId455" Type="http://schemas.openxmlformats.org/officeDocument/2006/relationships/hyperlink" Target="https://drive.google.com/open?id=1IGqtOIRkHXx9fdlxi2r5aTDtRgGOPw6T" TargetMode="External"/><Relationship Id="rId576" Type="http://schemas.openxmlformats.org/officeDocument/2006/relationships/hyperlink" Target="https://drive.google.com/file/d/1FGFBQ0G5GYi_LtzX-enYHQJjsHuwYqRb/view?usp=sharing" TargetMode="External"/><Relationship Id="rId697" Type="http://schemas.openxmlformats.org/officeDocument/2006/relationships/hyperlink" Target="https://drive.google.com/file/d/1p2lBrbYb2v1I5m9Sl-a_Ld_Zpw8gfE77/view?usp=sharing" TargetMode="External"/><Relationship Id="rId212" Type="http://schemas.openxmlformats.org/officeDocument/2006/relationships/hyperlink" Target="https://drive.google.com/file/d/0B9a5BtXYBva5ZmRNaEZTc2czcWc/view?usp=sharing" TargetMode="External"/><Relationship Id="rId333" Type="http://schemas.openxmlformats.org/officeDocument/2006/relationships/hyperlink" Target="https://drive.google.com/file/d/1bieXR8Xd4REYA-EsvQupOHl-FLqDSv2L/view?usp=sharing" TargetMode="External"/><Relationship Id="rId454" Type="http://schemas.openxmlformats.org/officeDocument/2006/relationships/hyperlink" Target="https://drive.google.com/a/uesc.br/file/d/0B9a5BtXYBva5ZGNCVFU5Q3hYVDg/view?usp=sharing" TargetMode="External"/><Relationship Id="rId575" Type="http://schemas.openxmlformats.org/officeDocument/2006/relationships/hyperlink" Target="https://drive.google.com/file/d/1QslSB0jIubN_377iiTRkMCmByalj3Lar/view?usp=sharing" TargetMode="External"/><Relationship Id="rId696" Type="http://schemas.openxmlformats.org/officeDocument/2006/relationships/hyperlink" Target="https://drive.google.com/file/d/1p2lBrbYb2v1I5m9Sl-a_Ld_Zpw8gfE77/view?usp=sharing" TargetMode="External"/><Relationship Id="rId211" Type="http://schemas.openxmlformats.org/officeDocument/2006/relationships/hyperlink" Target="https://drive.google.com/file/d/0B9a5BtXYBva5OU9sRlBFT2RkYjQ/view?usp=sharing" TargetMode="External"/><Relationship Id="rId332" Type="http://schemas.openxmlformats.org/officeDocument/2006/relationships/hyperlink" Target="https://drive.google.com/file/d/0B9a5BtXYBva5M3BEWkE2d2J5WmM/view?usp=sharing" TargetMode="External"/><Relationship Id="rId453" Type="http://schemas.openxmlformats.org/officeDocument/2006/relationships/hyperlink" Target="https://drive.google.com/file/d/1Tffgt_QpgyT-ePDG_nz8uVIFyhBrDTmL/view?usp=sharing" TargetMode="External"/><Relationship Id="rId574" Type="http://schemas.openxmlformats.org/officeDocument/2006/relationships/hyperlink" Target="https://drive.google.com/file/d/1QJCSFAMwAhO3CTofAglmgidOKNyDkTn5/view?usp=sharing" TargetMode="External"/><Relationship Id="rId695" Type="http://schemas.openxmlformats.org/officeDocument/2006/relationships/hyperlink" Target="https://drive.google.com/file/d/1LslNxAR1LSkRe2QM8Ng1ij4fyMvG5nOY/view?usp=sharing" TargetMode="External"/><Relationship Id="rId210" Type="http://schemas.openxmlformats.org/officeDocument/2006/relationships/hyperlink" Target="https://drive.google.com/file/d/0B9a5BtXYBva5dXdJZnNSUlZ3MEk/view?usp=sharing" TargetMode="External"/><Relationship Id="rId331" Type="http://schemas.openxmlformats.org/officeDocument/2006/relationships/hyperlink" Target="https://drive.google.com/open?id=1A42TPB8FMhdXs8Kv7rTOBglewxAta4g7" TargetMode="External"/><Relationship Id="rId452" Type="http://schemas.openxmlformats.org/officeDocument/2006/relationships/hyperlink" Target="https://drive.google.com/a/uesc.br/file/d/0B9a5BtXYBva5VmdSdWVqU1VtOGc/view?usp=sharing" TargetMode="External"/><Relationship Id="rId573" Type="http://schemas.openxmlformats.org/officeDocument/2006/relationships/hyperlink" Target="https://drive.google.com/file/d/1mWxBp1lPmN_3gV-1pv-yWn9xr6mLs_N8/view?usp=sharing" TargetMode="External"/><Relationship Id="rId694" Type="http://schemas.openxmlformats.org/officeDocument/2006/relationships/hyperlink" Target="https://drive.google.com/file/d/1LslNxAR1LSkRe2QM8Ng1ij4fyMvG5nOY/view?usp=sharing" TargetMode="External"/><Relationship Id="rId370" Type="http://schemas.openxmlformats.org/officeDocument/2006/relationships/hyperlink" Target="https://drive.google.com/file/d/0B9a5BtXYBva5Um8wZUw5OFY0RU0/view?usp=sharing" TargetMode="External"/><Relationship Id="rId491" Type="http://schemas.openxmlformats.org/officeDocument/2006/relationships/hyperlink" Target="https://drive.google.com/file/d/16pnqefnZ3vElNGQ6k2oEF9JlfBBNP-s2/view?usp=sharing" TargetMode="External"/><Relationship Id="rId490" Type="http://schemas.openxmlformats.org/officeDocument/2006/relationships/hyperlink" Target="https://drive.google.com/file/d/1eOaVeLemZAu_74LRNtijfwizt82aaqIi/view?usp=sharing" TargetMode="External"/><Relationship Id="rId129" Type="http://schemas.openxmlformats.org/officeDocument/2006/relationships/hyperlink" Target="https://drive.google.com/file/d/0B9a5BtXYBva5bkcyVS0yelBacVE/view?usp=sharing" TargetMode="External"/><Relationship Id="rId128" Type="http://schemas.openxmlformats.org/officeDocument/2006/relationships/hyperlink" Target="https://drive.google.com/file/d/0B9a5BtXYBva5UHFQcVFMUHBNbUk/view?usp=sharing" TargetMode="External"/><Relationship Id="rId249" Type="http://schemas.openxmlformats.org/officeDocument/2006/relationships/hyperlink" Target="https://drive.google.com/file/d/0B9a5BtXYBva5NFhXODdkYlZYR3c/view?usp=sharing" TargetMode="External"/><Relationship Id="rId127" Type="http://schemas.openxmlformats.org/officeDocument/2006/relationships/hyperlink" Target="https://drive.google.com/file/d/0B9a5BtXYBva5UlFyaUZoeFgtRDQ/view?usp=sharing" TargetMode="External"/><Relationship Id="rId248" Type="http://schemas.openxmlformats.org/officeDocument/2006/relationships/hyperlink" Target="https://drive.google.com/file/d/0B9a5BtXYBva5VmdtTG85UFExb28/view?usp=sharing" TargetMode="External"/><Relationship Id="rId369" Type="http://schemas.openxmlformats.org/officeDocument/2006/relationships/hyperlink" Target="https://drive.google.com/file/d/1G8eChdqhH1-bKhwpPCH7lp-5Sp9ciPV6/view?usp=sharing" TargetMode="External"/><Relationship Id="rId126" Type="http://schemas.openxmlformats.org/officeDocument/2006/relationships/hyperlink" Target="https://drive.google.com/file/d/0B9a5BtXYBva5WkFYTXJsbDlZQVk/view?usp=sharing" TargetMode="External"/><Relationship Id="rId247" Type="http://schemas.openxmlformats.org/officeDocument/2006/relationships/hyperlink" Target="https://drive.google.com/file/d/0B9a5BtXYBva5UWhKQXFxMm9VMFk/view?usp=sharing" TargetMode="External"/><Relationship Id="rId368" Type="http://schemas.openxmlformats.org/officeDocument/2006/relationships/hyperlink" Target="https://drive.google.com/file/d/0B9a5BtXYBva5U3NQOWlJS08xYUU/view?usp=sharing" TargetMode="External"/><Relationship Id="rId489" Type="http://schemas.openxmlformats.org/officeDocument/2006/relationships/hyperlink" Target="https://drive.google.com/open?id=1lEj7JP5s9DaaZYzc7ZfLQ0FmSkChNxsE" TargetMode="External"/><Relationship Id="rId121" Type="http://schemas.openxmlformats.org/officeDocument/2006/relationships/hyperlink" Target="https://drive.google.com/file/d/0B9a5BtXYBva5SkNSc1JaekRQWGc/view?usp=sharing" TargetMode="External"/><Relationship Id="rId242" Type="http://schemas.openxmlformats.org/officeDocument/2006/relationships/hyperlink" Target="https://drive.google.com/file/d/0B9a5BtXYBva5WV9yd1I0SjJrM2s/view?usp=sharing" TargetMode="External"/><Relationship Id="rId363" Type="http://schemas.openxmlformats.org/officeDocument/2006/relationships/hyperlink" Target="https://drive.google.com/file/d/1_S12-wn4L_YRsEDoMrCWJRfbmwPnA-j8/view?usp=sharing" TargetMode="External"/><Relationship Id="rId484" Type="http://schemas.openxmlformats.org/officeDocument/2006/relationships/hyperlink" Target="https://drive.google.com/file/d/1P1cElvYgVQ5n0vHykj36YjfpQISvrj4f/view?usp=sharing" TargetMode="External"/><Relationship Id="rId120" Type="http://schemas.openxmlformats.org/officeDocument/2006/relationships/hyperlink" Target="https://drive.google.com/file/d/0B9a5BtXYBva5SVhaM0VNMVJZc2M/view?usp=sharing" TargetMode="External"/><Relationship Id="rId241" Type="http://schemas.openxmlformats.org/officeDocument/2006/relationships/hyperlink" Target="https://drive.google.com/file/d/0B9a5BtXYBva5UV9DMk9QczZmcjA/view?usp=sharing" TargetMode="External"/><Relationship Id="rId362" Type="http://schemas.openxmlformats.org/officeDocument/2006/relationships/hyperlink" Target="https://drive.google.com/file/d/0B9a5BtXYBva5ZXlGY0xmeHdnLUk/view?usp=sharing" TargetMode="External"/><Relationship Id="rId483" Type="http://schemas.openxmlformats.org/officeDocument/2006/relationships/hyperlink" Target="https://drive.google.com/file/d/1U7v4V7qmUopfMwgYY8_b0sKEVgufcNvj/view?usp=sharing" TargetMode="External"/><Relationship Id="rId240" Type="http://schemas.openxmlformats.org/officeDocument/2006/relationships/hyperlink" Target="https://drive.google.com/file/d/0B9a5BtXYBva5UmtoWFJEc0Y4QVk/view?usp=sharing" TargetMode="External"/><Relationship Id="rId361" Type="http://schemas.openxmlformats.org/officeDocument/2006/relationships/hyperlink" Target="https://drive.google.com/file/d/1p6WXnQuI_o3tblZ04OcPQ0zzrC49zzIL/view?usp=sharing" TargetMode="External"/><Relationship Id="rId482" Type="http://schemas.openxmlformats.org/officeDocument/2006/relationships/hyperlink" Target="https://drive.google.com/file/d/1VRaxDLvZf9ulZzyS69aEmhgKTAkljiO5/view?usp=sharing" TargetMode="External"/><Relationship Id="rId360" Type="http://schemas.openxmlformats.org/officeDocument/2006/relationships/hyperlink" Target="https://drive.google.com/file/d/0B9a5BtXYBva5QUJaUGFlOG9lc2c/view?usp=sharing" TargetMode="External"/><Relationship Id="rId481" Type="http://schemas.openxmlformats.org/officeDocument/2006/relationships/hyperlink" Target="https://drive.google.com/file/d/1wEV1N9L114Mc3E7Zv_yh9TpQd-ITEtit/view?usp=sharing" TargetMode="External"/><Relationship Id="rId125" Type="http://schemas.openxmlformats.org/officeDocument/2006/relationships/hyperlink" Target="https://drive.google.com/file/d/0B9a5BtXYBva5S3JOU19mX3VhVmc/view?usp=sharing" TargetMode="External"/><Relationship Id="rId246" Type="http://schemas.openxmlformats.org/officeDocument/2006/relationships/hyperlink" Target="https://drive.google.com/file/d/0B9a5BtXYBva5TzJzbXRyQTgyS0E/view?usp=sharing" TargetMode="External"/><Relationship Id="rId367" Type="http://schemas.openxmlformats.org/officeDocument/2006/relationships/hyperlink" Target="https://drive.google.com/file/d/17eC7kZxHBq-B7lQudCKkXOXmPXBiSo6O/view?usp=sharing" TargetMode="External"/><Relationship Id="rId488" Type="http://schemas.openxmlformats.org/officeDocument/2006/relationships/hyperlink" Target="https://drive.google.com/file/d/1ntKeykV_j4M0Ku6j1S-kVSiil9L8zGtu/view?usp=sharing" TargetMode="External"/><Relationship Id="rId124" Type="http://schemas.openxmlformats.org/officeDocument/2006/relationships/hyperlink" Target="https://drive.google.com/file/d/0B9a5BtXYBva5MXJOVW85cTB4SkU/view?usp=sharing" TargetMode="External"/><Relationship Id="rId245" Type="http://schemas.openxmlformats.org/officeDocument/2006/relationships/hyperlink" Target="https://drive.google.com/file/d/0B9a5BtXYBva5RUF0bkNjQS03T2M/view?usp=sharing" TargetMode="External"/><Relationship Id="rId366" Type="http://schemas.openxmlformats.org/officeDocument/2006/relationships/hyperlink" Target="https://drive.google.com/file/d/0B9a5BtXYBva5TE1UU2RDOWFjWWc/view?usp=sharing" TargetMode="External"/><Relationship Id="rId487" Type="http://schemas.openxmlformats.org/officeDocument/2006/relationships/hyperlink" Target="https://drive.google.com/file/d/1LaCI-QX0z3eMFAuVqB_qtl70PDBiMwY4/view?usp=sharing" TargetMode="External"/><Relationship Id="rId123" Type="http://schemas.openxmlformats.org/officeDocument/2006/relationships/hyperlink" Target="https://drive.google.com/file/d/0B9a5BtXYBva5eWp0OEJzMlRIMzA/view?usp=sharing" TargetMode="External"/><Relationship Id="rId244" Type="http://schemas.openxmlformats.org/officeDocument/2006/relationships/hyperlink" Target="https://drive.google.com/file/d/0B9a5BtXYBva5THhWVnFoOS1SeUk/view?usp=sharing" TargetMode="External"/><Relationship Id="rId365" Type="http://schemas.openxmlformats.org/officeDocument/2006/relationships/hyperlink" Target="https://drive.google.com/file/d/1diWYI1j-3-Vcy-SUpun6yMcD-Tf3aC1w/view?usp=sharing" TargetMode="External"/><Relationship Id="rId486" Type="http://schemas.openxmlformats.org/officeDocument/2006/relationships/hyperlink" Target="https://drive.google.com/file/d/1oS7dWIGeSfDL8w_zvh-RXOZU3Nc5BUQO/view?usp=sharing" TargetMode="External"/><Relationship Id="rId122" Type="http://schemas.openxmlformats.org/officeDocument/2006/relationships/hyperlink" Target="https://drive.google.com/file/d/0B9a5BtXYBva5cWNkdGtCMXAyMTA/view?usp=sharing" TargetMode="External"/><Relationship Id="rId243" Type="http://schemas.openxmlformats.org/officeDocument/2006/relationships/hyperlink" Target="https://drive.google.com/file/d/0B9a5BtXYBva5cEo3RlFaQ3dCLWc/view?usp=sharing" TargetMode="External"/><Relationship Id="rId364" Type="http://schemas.openxmlformats.org/officeDocument/2006/relationships/hyperlink" Target="https://drive.google.com/file/d/0B9a5BtXYBva5blhtYkRIeTBVbG8/view?usp=sharing" TargetMode="External"/><Relationship Id="rId485" Type="http://schemas.openxmlformats.org/officeDocument/2006/relationships/hyperlink" Target="https://drive.google.com/open?id=1exoo7XR_byPC2nmHdsmXGAkbcDsdl_k4" TargetMode="External"/><Relationship Id="rId95" Type="http://schemas.openxmlformats.org/officeDocument/2006/relationships/hyperlink" Target="https://drive.google.com/file/d/0B9a5BtXYBva5NjFkcDFwaFJkaWs/view?usp=sharing" TargetMode="External"/><Relationship Id="rId94" Type="http://schemas.openxmlformats.org/officeDocument/2006/relationships/hyperlink" Target="https://drive.google.com/file/d/0B9a5BtXYBva5WlpQSXlSamZESTQ/view?usp=sharing" TargetMode="External"/><Relationship Id="rId97" Type="http://schemas.openxmlformats.org/officeDocument/2006/relationships/hyperlink" Target="https://drive.google.com/file/d/0B9a5BtXYBva5U2xKbG90eXQxQk0/view?usp=sharing" TargetMode="External"/><Relationship Id="rId96" Type="http://schemas.openxmlformats.org/officeDocument/2006/relationships/hyperlink" Target="https://drive.google.com/file/d/0B9a5BtXYBva5N1ZYUUpvNE5UWHM/view?usp=sharing" TargetMode="External"/><Relationship Id="rId99" Type="http://schemas.openxmlformats.org/officeDocument/2006/relationships/hyperlink" Target="https://drive.google.com/file/d/0B9a5BtXYBva5dEVzVzlONk1wYTQ/view?usp=sharing" TargetMode="External"/><Relationship Id="rId480" Type="http://schemas.openxmlformats.org/officeDocument/2006/relationships/hyperlink" Target="https://drive.google.com/open?id=1s3jkcWH-4o1LVMFs191gYSQg0K0Tjq4F" TargetMode="External"/><Relationship Id="rId98" Type="http://schemas.openxmlformats.org/officeDocument/2006/relationships/hyperlink" Target="https://drive.google.com/file/d/0B9a5BtXYBva5WXhZbi01WGUtOU0/view?usp=sharing" TargetMode="External"/><Relationship Id="rId91" Type="http://schemas.openxmlformats.org/officeDocument/2006/relationships/hyperlink" Target="https://drive.google.com/file/d/0B9a5BtXYBva5Yk94Tl9ka29QbE0/view?usp=sharing" TargetMode="External"/><Relationship Id="rId90" Type="http://schemas.openxmlformats.org/officeDocument/2006/relationships/hyperlink" Target="https://drive.google.com/file/d/0B9a5BtXYBva5emxQZUc5Q2pUd0U/view?usp=sharing" TargetMode="External"/><Relationship Id="rId93" Type="http://schemas.openxmlformats.org/officeDocument/2006/relationships/hyperlink" Target="https://drive.google.com/file/d/0B9a5BtXYBva5QW5VUC1IZ3JhWGs/view?usp=sharing" TargetMode="External"/><Relationship Id="rId92" Type="http://schemas.openxmlformats.org/officeDocument/2006/relationships/hyperlink" Target="https://drive.google.com/file/d/0B9a5BtXYBva5TGsxcWZnTlFFWjQ/view?usp=sharing" TargetMode="External"/><Relationship Id="rId118" Type="http://schemas.openxmlformats.org/officeDocument/2006/relationships/hyperlink" Target="https://drive.google.com/file/d/0B9a5BtXYBva5QVB6V2UwR1hfMWc/view?usp=sharing" TargetMode="External"/><Relationship Id="rId239" Type="http://schemas.openxmlformats.org/officeDocument/2006/relationships/hyperlink" Target="https://drive.google.com/file/d/0B9a5BtXYBva5cnhtVXJjemRIZWc/view?usp=sharing" TargetMode="External"/><Relationship Id="rId117" Type="http://schemas.openxmlformats.org/officeDocument/2006/relationships/hyperlink" Target="https://drive.google.com/file/d/0B9a5BtXYBva5RmZaUE1qbUowblk/view?usp=sharing" TargetMode="External"/><Relationship Id="rId238" Type="http://schemas.openxmlformats.org/officeDocument/2006/relationships/hyperlink" Target="https://drive.google.com/file/d/0B9a5BtXYBva5OXlrTVk0Z1hqVE0/view?usp=sharing" TargetMode="External"/><Relationship Id="rId359" Type="http://schemas.openxmlformats.org/officeDocument/2006/relationships/hyperlink" Target="https://drive.google.com/open?id=1mv_zLTBmajiSoZn-Ms-jGvYB7oLL7K2S" TargetMode="External"/><Relationship Id="rId116" Type="http://schemas.openxmlformats.org/officeDocument/2006/relationships/hyperlink" Target="https://drive.google.com/file/d/0B9a5BtXYBva5UDhIeFRnQm43ajA/view?usp=sharing" TargetMode="External"/><Relationship Id="rId237" Type="http://schemas.openxmlformats.org/officeDocument/2006/relationships/hyperlink" Target="https://drive.google.com/file/d/0B9a5BtXYBva5Nmx0QUcyLUVaV0U/view?usp=sharing" TargetMode="External"/><Relationship Id="rId358" Type="http://schemas.openxmlformats.org/officeDocument/2006/relationships/hyperlink" Target="https://drive.google.com/file/d/0B9a5BtXYBva5bTRzVkRsbFlZejQ/view?usp=sharing" TargetMode="External"/><Relationship Id="rId479" Type="http://schemas.openxmlformats.org/officeDocument/2006/relationships/hyperlink" Target="https://drive.google.com/file/d/1qLLoBg20cgTmlJgT7xMGYyFZxukndOSp/view?usp=sharing" TargetMode="External"/><Relationship Id="rId115" Type="http://schemas.openxmlformats.org/officeDocument/2006/relationships/hyperlink" Target="https://drive.google.com/file/d/0B9a5BtXYBva5SC1DZldXSGdjMjA/view?usp=sharing" TargetMode="External"/><Relationship Id="rId236" Type="http://schemas.openxmlformats.org/officeDocument/2006/relationships/hyperlink" Target="https://drive.google.com/file/d/0B9a5BtXYBva5azZTU2I1NnM3U3M/view?usp=sharing" TargetMode="External"/><Relationship Id="rId357" Type="http://schemas.openxmlformats.org/officeDocument/2006/relationships/hyperlink" Target="https://drive.google.com/file/d/1x3NlV-f2i-8veuI39-FDUj2SLlpUAU9E/view?usp=sharing" TargetMode="External"/><Relationship Id="rId478" Type="http://schemas.openxmlformats.org/officeDocument/2006/relationships/hyperlink" Target="https://drive.google.com/open?id=1kg0IhZ7E7qQjvwsIVLT3H97YPi356BG2" TargetMode="External"/><Relationship Id="rId599" Type="http://schemas.openxmlformats.org/officeDocument/2006/relationships/hyperlink" Target="https://drive.google.com/file/d/16ylxOgsk64ALwxh3hlfNVOKFvQKuEcGF/view?usp=sharing" TargetMode="External"/><Relationship Id="rId119" Type="http://schemas.openxmlformats.org/officeDocument/2006/relationships/hyperlink" Target="https://drive.google.com/file/d/0B9a5BtXYBva5Z0xpSVlPUkt3V0k/view?usp=sharing" TargetMode="External"/><Relationship Id="rId110" Type="http://schemas.openxmlformats.org/officeDocument/2006/relationships/hyperlink" Target="https://drive.google.com/file/d/0B9a5BtXYBva5VWpuNGlFdkFFT2c/view?usp=sharing" TargetMode="External"/><Relationship Id="rId231" Type="http://schemas.openxmlformats.org/officeDocument/2006/relationships/hyperlink" Target="https://drive.google.com/file/d/0B9a5BtXYBva5bWY5RU9mVFp5ZHM/view?usp=sharing" TargetMode="External"/><Relationship Id="rId352" Type="http://schemas.openxmlformats.org/officeDocument/2006/relationships/hyperlink" Target="https://drive.google.com/file/d/0B9a5BtXYBva5ZTk2anZqUnBHcnM/view?usp=sharing" TargetMode="External"/><Relationship Id="rId473" Type="http://schemas.openxmlformats.org/officeDocument/2006/relationships/hyperlink" Target="https://drive.google.com/file/d/18wF_ae5jsKDf-3TWjSW4ADCsMzCl3QOy/view?usp=sharing" TargetMode="External"/><Relationship Id="rId594" Type="http://schemas.openxmlformats.org/officeDocument/2006/relationships/hyperlink" Target="https://drive.google.com/open?id=1dEB_6nCySjkc-kv38nCY4JzH3Da62BcN" TargetMode="External"/><Relationship Id="rId230" Type="http://schemas.openxmlformats.org/officeDocument/2006/relationships/hyperlink" Target="https://drive.google.com/file/d/0B9a5BtXYBva5Ry1hLUdOX1B6NWs/view?usp=sharing" TargetMode="External"/><Relationship Id="rId351" Type="http://schemas.openxmlformats.org/officeDocument/2006/relationships/hyperlink" Target="https://drive.google.com/file/d/1Wpe8Zv2EGRoLA8SlzhKY5oXLjilvzj5W/view?usp=sharing" TargetMode="External"/><Relationship Id="rId472" Type="http://schemas.openxmlformats.org/officeDocument/2006/relationships/hyperlink" Target="https://drive.google.com/open?id=1aa5gZxrQAh9kT2BizS_Of3bcDRSRq5yO" TargetMode="External"/><Relationship Id="rId593" Type="http://schemas.openxmlformats.org/officeDocument/2006/relationships/hyperlink" Target="https://drive.google.com/open?id=1ZNY5-INH4iq1qZURj7XE094Kwhukjjh4" TargetMode="External"/><Relationship Id="rId350" Type="http://schemas.openxmlformats.org/officeDocument/2006/relationships/hyperlink" Target="https://drive.google.com/file/d/0B9a5BtXYBva5NU1OcU9FOFF0TmM/view?usp=sharing" TargetMode="External"/><Relationship Id="rId471" Type="http://schemas.openxmlformats.org/officeDocument/2006/relationships/hyperlink" Target="https://drive.google.com/file/d/15a8UlZLvefsOYBtAjskJUcEXrXsGV8q9/view?usp=sharing" TargetMode="External"/><Relationship Id="rId592" Type="http://schemas.openxmlformats.org/officeDocument/2006/relationships/hyperlink" Target="https://drive.google.com/open?id=1Q0Axm_j23DPAlzPyR8P6Pts92TnPjp13" TargetMode="External"/><Relationship Id="rId470" Type="http://schemas.openxmlformats.org/officeDocument/2006/relationships/hyperlink" Target="https://drive.google.com/open?id=1OVSWM7DKnUoZd3oU10CFx_PNnGzPMTOs" TargetMode="External"/><Relationship Id="rId591" Type="http://schemas.openxmlformats.org/officeDocument/2006/relationships/hyperlink" Target="https://drive.google.com/file/d/1YDouuaNX5aK6--YPHD9NoPJOo9UAxwiE/view?usp=sharing" TargetMode="External"/><Relationship Id="rId114" Type="http://schemas.openxmlformats.org/officeDocument/2006/relationships/hyperlink" Target="https://drive.google.com/file/d/0B9a5BtXYBva5TVZ5Yk1IOWw4dVU/view?usp=sharing" TargetMode="External"/><Relationship Id="rId235" Type="http://schemas.openxmlformats.org/officeDocument/2006/relationships/hyperlink" Target="https://drive.google.com/file/d/0B9a5BtXYBva5RnJHX2xrRlVyX0U/view?usp=sharing" TargetMode="External"/><Relationship Id="rId356" Type="http://schemas.openxmlformats.org/officeDocument/2006/relationships/hyperlink" Target="https://drive.google.com/file/d/0B9a5BtXYBva5SWJFSWRNR1FNekk/view?usp=sharing" TargetMode="External"/><Relationship Id="rId477" Type="http://schemas.openxmlformats.org/officeDocument/2006/relationships/hyperlink" Target="https://drive.google.com/file/d/184NYGqzcP9SSp_qX5EE5b8TUs4KA2knd/view?usp=sharing" TargetMode="External"/><Relationship Id="rId598" Type="http://schemas.openxmlformats.org/officeDocument/2006/relationships/hyperlink" Target="https://drive.google.com/open?id=1BPF_0XjTvgwaXvzFRcnxU1nXeXYBuu4X" TargetMode="External"/><Relationship Id="rId113" Type="http://schemas.openxmlformats.org/officeDocument/2006/relationships/hyperlink" Target="https://drive.google.com/file/d/0B9a5BtXYBva5NXpMeS04eDZXMEk/view?usp=sharing" TargetMode="External"/><Relationship Id="rId234" Type="http://schemas.openxmlformats.org/officeDocument/2006/relationships/hyperlink" Target="https://drive.google.com/file/d/0B9a5BtXYBva5a0VlTnZ2NnRaQmc/view?usp=sharing" TargetMode="External"/><Relationship Id="rId355" Type="http://schemas.openxmlformats.org/officeDocument/2006/relationships/hyperlink" Target="https://drive.google.com/file/d/1i-eDbowm7bod7VNwvmczp3srgoprXvYa/view?usp=sharing" TargetMode="External"/><Relationship Id="rId476" Type="http://schemas.openxmlformats.org/officeDocument/2006/relationships/hyperlink" Target="https://drive.google.com/open?id=1CQxgHIHwbq6nVe_ZYBPKhCswWuRhKZA7" TargetMode="External"/><Relationship Id="rId597" Type="http://schemas.openxmlformats.org/officeDocument/2006/relationships/hyperlink" Target="https://drive.google.com/file/d/1Ghqwdxf8HYGWGxv3kOivxnu-q9hhzYxb/view?usp=sharing" TargetMode="External"/><Relationship Id="rId112" Type="http://schemas.openxmlformats.org/officeDocument/2006/relationships/hyperlink" Target="https://drive.google.com/file/d/0B9a5BtXYBva5LTV1azNFVEJFV0E/view?usp=sharing" TargetMode="External"/><Relationship Id="rId233" Type="http://schemas.openxmlformats.org/officeDocument/2006/relationships/hyperlink" Target="https://drive.google.com/file/d/0B9a5BtXYBva5OUFyX1JPNWtBdUU/view?usp=sharing" TargetMode="External"/><Relationship Id="rId354" Type="http://schemas.openxmlformats.org/officeDocument/2006/relationships/hyperlink" Target="https://drive.google.com/file/d/1aJCaoVG74S3l-FyjlGDTbuyaEKRWUhfB/view?usp=sharing" TargetMode="External"/><Relationship Id="rId475" Type="http://schemas.openxmlformats.org/officeDocument/2006/relationships/hyperlink" Target="https://drive.google.com/file/d/1DxOHAiGHLJ8omStahNoKA-72WHAxmz5P/view?usp=sharing" TargetMode="External"/><Relationship Id="rId596" Type="http://schemas.openxmlformats.org/officeDocument/2006/relationships/hyperlink" Target="https://drive.google.com/open?id=1HFKERBILAAYw8x9ckeogQRYeRlzeWFQ1" TargetMode="External"/><Relationship Id="rId111" Type="http://schemas.openxmlformats.org/officeDocument/2006/relationships/hyperlink" Target="https://drive.google.com/file/d/0B9a5BtXYBva5dDVnUG90eWtvUk0/view?usp=sharing" TargetMode="External"/><Relationship Id="rId232" Type="http://schemas.openxmlformats.org/officeDocument/2006/relationships/hyperlink" Target="https://drive.google.com/file/d/0B9a5BtXYBva5SG9YaFJQem9ZeWM/view?usp=sharing" TargetMode="External"/><Relationship Id="rId353" Type="http://schemas.openxmlformats.org/officeDocument/2006/relationships/hyperlink" Target="https://drive.google.com/file/d/1_hgjn2sNFSNcnvZWpYnjZ5vqXDYp0qsu/view?usp=sharing" TargetMode="External"/><Relationship Id="rId474" Type="http://schemas.openxmlformats.org/officeDocument/2006/relationships/hyperlink" Target="https://drive.google.com/open?id=1uaEEPSFb_cQC565-TxbpnZCpV8Co-XAq" TargetMode="External"/><Relationship Id="rId595" Type="http://schemas.openxmlformats.org/officeDocument/2006/relationships/hyperlink" Target="https://drive.google.com/file/d/1Gh0Yow4QI8HCw_otD5rsGIOBZe6JIGj6/view?usp=sharing" TargetMode="External"/><Relationship Id="rId305" Type="http://schemas.openxmlformats.org/officeDocument/2006/relationships/hyperlink" Target="https://drive.google.com/file/d/0B9a5BtXYBva5Wk5leXkwUjM2N2c/view?usp=sharing" TargetMode="External"/><Relationship Id="rId426" Type="http://schemas.openxmlformats.org/officeDocument/2006/relationships/hyperlink" Target="https://drive.google.com/a/uesc.br/file/d/0B9a5BtXYBva5WERqLWxNbzRuZFk/view?usp=sharing" TargetMode="External"/><Relationship Id="rId547" Type="http://schemas.openxmlformats.org/officeDocument/2006/relationships/hyperlink" Target="https://drive.google.com/file/d/1asL8gw7WacK2e-JOIEpifl4gnvKGZk94/view?usp=sharing" TargetMode="External"/><Relationship Id="rId668" Type="http://schemas.openxmlformats.org/officeDocument/2006/relationships/hyperlink" Target="https://drive.google.com/file/d/1iwERKZw917vP3Bo-U-cJNTG0Er4axc74/view?usp=sharing" TargetMode="External"/><Relationship Id="rId304" Type="http://schemas.openxmlformats.org/officeDocument/2006/relationships/hyperlink" Target="https://drive.google.com/file/d/0B9a5BtXYBva5a0xiQWRYNktnWnc/view?usp=sharing" TargetMode="External"/><Relationship Id="rId425" Type="http://schemas.openxmlformats.org/officeDocument/2006/relationships/hyperlink" Target="https://drive.google.com/file/d/1ZJRPue3AYSTYrjXiXAwI3gcBM0wKY3DK/view?usp=sharing" TargetMode="External"/><Relationship Id="rId546" Type="http://schemas.openxmlformats.org/officeDocument/2006/relationships/hyperlink" Target="https://drive.google.com/file/d/1X-Q_AvNcc-gUxXWbcCXSJ6FlPAj6u3Er/view?usp=sharing" TargetMode="External"/><Relationship Id="rId667" Type="http://schemas.openxmlformats.org/officeDocument/2006/relationships/hyperlink" Target="https://drive.google.com/file/d/1JUsGr68Vvc59fO_pLcJd6Zw6bipk2J-T/view?usp=sharing" TargetMode="External"/><Relationship Id="rId303" Type="http://schemas.openxmlformats.org/officeDocument/2006/relationships/hyperlink" Target="https://drive.google.com/file/d/0B9a5BtXYBva5WXVJRXFoZHp4SXM/view?usp=sharing" TargetMode="External"/><Relationship Id="rId424" Type="http://schemas.openxmlformats.org/officeDocument/2006/relationships/hyperlink" Target="https://drive.google.com/a/uesc.br/file/d/0B9a5BtXYBva5ZEdpTU1lazFhTW8/view?usp=sharing" TargetMode="External"/><Relationship Id="rId545" Type="http://schemas.openxmlformats.org/officeDocument/2006/relationships/hyperlink" Target="https://drive.google.com/file/d/1Oo0YG8fCGjO0juA0ojUVOFzPKt2c6wEV/view?usp=sharing" TargetMode="External"/><Relationship Id="rId666" Type="http://schemas.openxmlformats.org/officeDocument/2006/relationships/hyperlink" Target="https://drive.google.com/file/d/1JUsGr68Vvc59fO_pLcJd6Zw6bipk2J-T/view?usp=sharing" TargetMode="External"/><Relationship Id="rId302" Type="http://schemas.openxmlformats.org/officeDocument/2006/relationships/hyperlink" Target="https://drive.google.com/file/d/0B9a5BtXYBva5TVdNem9tRmZvb0k/view?usp=sharing" TargetMode="External"/><Relationship Id="rId423" Type="http://schemas.openxmlformats.org/officeDocument/2006/relationships/hyperlink" Target="https://drive.google.com/file/d/1wy8gQL2yIz34oHWHi5F6CfDz9SYfWX9g/view?usp=sharing" TargetMode="External"/><Relationship Id="rId544" Type="http://schemas.openxmlformats.org/officeDocument/2006/relationships/hyperlink" Target="https://drive.google.com/file/d/1RILvEBx2xwNfVHgS_2l19aE--n6zfR1o/view?usp=sharing" TargetMode="External"/><Relationship Id="rId665" Type="http://schemas.openxmlformats.org/officeDocument/2006/relationships/hyperlink" Target="https://drive.google.com/file/d/1lHFdNszzXHJXx2uvaGzEXGGqYPpzVqdS/view?usp=sharing" TargetMode="External"/><Relationship Id="rId309" Type="http://schemas.openxmlformats.org/officeDocument/2006/relationships/hyperlink" Target="https://drive.google.com/file/d/0B9a5BtXYBva5WGtEOW1YeFFlNEU/view?usp=sharing" TargetMode="External"/><Relationship Id="rId308" Type="http://schemas.openxmlformats.org/officeDocument/2006/relationships/hyperlink" Target="https://drive.google.com/file/d/0B9a5BtXYBva5YjZqajBrUncyM1E/view?usp=sharing" TargetMode="External"/><Relationship Id="rId429" Type="http://schemas.openxmlformats.org/officeDocument/2006/relationships/hyperlink" Target="https://drive.google.com/file/d/1fsmnVltFICT8Gg5mrXrvldiYFRPiztox/view?usp=sharing" TargetMode="External"/><Relationship Id="rId307" Type="http://schemas.openxmlformats.org/officeDocument/2006/relationships/hyperlink" Target="https://drive.google.com/file/d/0B9a5BtXYBva5cEE5SGNSczlVa28/view?usp=sharing" TargetMode="External"/><Relationship Id="rId428" Type="http://schemas.openxmlformats.org/officeDocument/2006/relationships/hyperlink" Target="https://drive.google.com/a/uesc.br/file/d/0B9a5BtXYBva5R2VEQXdYWW1FbkU/view?usp=sharing" TargetMode="External"/><Relationship Id="rId549" Type="http://schemas.openxmlformats.org/officeDocument/2006/relationships/hyperlink" Target="https://drive.google.com/open?id=1kV5AQRl9UXFN9DvvvADvh8OkqtNBYXa-" TargetMode="External"/><Relationship Id="rId306" Type="http://schemas.openxmlformats.org/officeDocument/2006/relationships/hyperlink" Target="https://drive.google.com/file/d/0B9a5BtXYBva5R0hNSndMV3Q5aGM/view?usp=sharing" TargetMode="External"/><Relationship Id="rId427" Type="http://schemas.openxmlformats.org/officeDocument/2006/relationships/hyperlink" Target="https://drive.google.com/file/d/16tN_uassUQoLeOA6kVnbzGjz6jvYVB1M/view?usp=sharing" TargetMode="External"/><Relationship Id="rId548" Type="http://schemas.openxmlformats.org/officeDocument/2006/relationships/hyperlink" Target="https://drive.google.com/file/d/1xO005QXlsSctvxZWO6ZfL0_Qr5Pc8qaj/view?usp=sharing" TargetMode="External"/><Relationship Id="rId669" Type="http://schemas.openxmlformats.org/officeDocument/2006/relationships/hyperlink" Target="https://drive.google.com/file/d/1iwERKZw917vP3Bo-U-cJNTG0Er4axc74/view?usp=sharing" TargetMode="External"/><Relationship Id="rId660" Type="http://schemas.openxmlformats.org/officeDocument/2006/relationships/hyperlink" Target="https://drive.google.com/file/d/1JM7sEGqgWkQQcn4rJWyZSeqpZk6tWIF7/view?usp=sharing" TargetMode="External"/><Relationship Id="rId301" Type="http://schemas.openxmlformats.org/officeDocument/2006/relationships/hyperlink" Target="https://drive.google.com/file/d/0B9a5BtXYBva5VkFzTmJQcUNVdVE/view?usp=sharing" TargetMode="External"/><Relationship Id="rId422" Type="http://schemas.openxmlformats.org/officeDocument/2006/relationships/hyperlink" Target="https://drive.google.com/a/uesc.br/file/d/0B9a5BtXYBva5R1NoNEtvdk9YQ0U/view?usp=sharing" TargetMode="External"/><Relationship Id="rId543" Type="http://schemas.openxmlformats.org/officeDocument/2006/relationships/hyperlink" Target="https://drive.google.com/file/d/12B3osAwE0beGF-rMF_KAaFihxC6j6W5x/view?usp=sharing" TargetMode="External"/><Relationship Id="rId664" Type="http://schemas.openxmlformats.org/officeDocument/2006/relationships/hyperlink" Target="https://drive.google.com/file/d/1lHFdNszzXHJXx2uvaGzEXGGqYPpzVqdS/view?usp=sharing" TargetMode="External"/><Relationship Id="rId300" Type="http://schemas.openxmlformats.org/officeDocument/2006/relationships/hyperlink" Target="https://drive.google.com/file/d/0B9a5BtXYBva5TVdaMl9mdV9uTFE/view?usp=sharing" TargetMode="External"/><Relationship Id="rId421" Type="http://schemas.openxmlformats.org/officeDocument/2006/relationships/hyperlink" Target="https://drive.google.com/file/d/1AD-81WMCCg5p721HToD9-CZOE7iEwMXD/view?usp=sharing" TargetMode="External"/><Relationship Id="rId542" Type="http://schemas.openxmlformats.org/officeDocument/2006/relationships/hyperlink" Target="https://drive.google.com/file/d/1kZ5qgWn2cRUx2gzvo_ZIbZWeUNINlWef/view?usp=sharing" TargetMode="External"/><Relationship Id="rId663" Type="http://schemas.openxmlformats.org/officeDocument/2006/relationships/hyperlink" Target="https://drive.google.com/file/d/1fuSLYBae2oxjr6TXifZZl9gnGPrWJYrv/view?usp=sharing" TargetMode="External"/><Relationship Id="rId420" Type="http://schemas.openxmlformats.org/officeDocument/2006/relationships/hyperlink" Target="https://drive.google.com/a/uesc.br/file/d/0B9a5BtXYBva5Y0xrc0hKdUFnNkk/view?usp=sharing" TargetMode="External"/><Relationship Id="rId541" Type="http://schemas.openxmlformats.org/officeDocument/2006/relationships/hyperlink" Target="https://drive.google.com/open?id=10GWU-AClhr77d5SrivdprculOMeKvFTc" TargetMode="External"/><Relationship Id="rId662" Type="http://schemas.openxmlformats.org/officeDocument/2006/relationships/hyperlink" Target="https://drive.google.com/file/d/1fuSLYBae2oxjr6TXifZZl9gnGPrWJYrv/view?usp=sharing" TargetMode="External"/><Relationship Id="rId540" Type="http://schemas.openxmlformats.org/officeDocument/2006/relationships/hyperlink" Target="https://drive.google.com/file/d/1uGU3T7mfextJMuf5zPd9bYHLpJq_qAY5/view?usp=sharing" TargetMode="External"/><Relationship Id="rId661" Type="http://schemas.openxmlformats.org/officeDocument/2006/relationships/hyperlink" Target="https://drive.google.com/file/d/1JM7sEGqgWkQQcn4rJWyZSeqpZk6tWIF7/view?usp=sharing" TargetMode="External"/><Relationship Id="rId415" Type="http://schemas.openxmlformats.org/officeDocument/2006/relationships/hyperlink" Target="https://drive.google.com/file/d/1M56itRD6W03kPGMEWfR5oyy0oXWSU_xo/view?usp=sharing" TargetMode="External"/><Relationship Id="rId536" Type="http://schemas.openxmlformats.org/officeDocument/2006/relationships/hyperlink" Target="https://drive.google.com/file/d/1ogtFL9Kb7_avPd1KAcfXT3DJdcEe0u5H/view?usp=sharing" TargetMode="External"/><Relationship Id="rId657" Type="http://schemas.openxmlformats.org/officeDocument/2006/relationships/hyperlink" Target="https://drive.google.com/file/d/10Xoa2ZS6DIi5SYA35eUH07Z-pbE2LWzV/view?usp=sharing" TargetMode="External"/><Relationship Id="rId414" Type="http://schemas.openxmlformats.org/officeDocument/2006/relationships/hyperlink" Target="https://drive.google.com/a/uesc.br/file/d/0B9a5BtXYBva5bjViMHdrbVZkZ0U/view?usp=sharing" TargetMode="External"/><Relationship Id="rId535" Type="http://schemas.openxmlformats.org/officeDocument/2006/relationships/hyperlink" Target="https://drive.google.com/file/d/1ctO6XYHOjimeqPuLCSvRt9TZfjsfFuN2/view?usp=sharing" TargetMode="External"/><Relationship Id="rId656" Type="http://schemas.openxmlformats.org/officeDocument/2006/relationships/hyperlink" Target="https://drive.google.com/file/d/10Xoa2ZS6DIi5SYA35eUH07Z-pbE2LWzV/view?usp=sharing" TargetMode="External"/><Relationship Id="rId413" Type="http://schemas.openxmlformats.org/officeDocument/2006/relationships/hyperlink" Target="https://drive.google.com/file/d/1IFll8euLEpsgY9UnuGPZ6UgATjmOp-ml/view?usp=sharing" TargetMode="External"/><Relationship Id="rId534" Type="http://schemas.openxmlformats.org/officeDocument/2006/relationships/hyperlink" Target="https://drive.google.com/file/d/1k3oo30a3NuPMRYmJDrnusXeklV9j8L_8/view?usp=sharing" TargetMode="External"/><Relationship Id="rId655" Type="http://schemas.openxmlformats.org/officeDocument/2006/relationships/hyperlink" Target="https://drive.google.com/file/d/131lpiH01uB7NcxfWiQgLpuX2aYS94oUx/view?usp=sharing" TargetMode="External"/><Relationship Id="rId412" Type="http://schemas.openxmlformats.org/officeDocument/2006/relationships/hyperlink" Target="https://drive.google.com/a/uesc.br/file/d/0B9a5BtXYBva5S1E2cFFFbS1pRGM/view?usp=sharing" TargetMode="External"/><Relationship Id="rId533" Type="http://schemas.openxmlformats.org/officeDocument/2006/relationships/hyperlink" Target="https://drive.google.com/open?id=1qVQvqjWEhAfI00q9WTgeC2KwUQ71m-AX" TargetMode="External"/><Relationship Id="rId654" Type="http://schemas.openxmlformats.org/officeDocument/2006/relationships/hyperlink" Target="https://drive.google.com/file/d/131lpiH01uB7NcxfWiQgLpuX2aYS94oUx/view?usp=sharing" TargetMode="External"/><Relationship Id="rId419" Type="http://schemas.openxmlformats.org/officeDocument/2006/relationships/hyperlink" Target="https://drive.google.com/file/d/1jzruUdDx0uVLBqMVuD-zMhOu9Stb-N6v/view?usp=sharing" TargetMode="External"/><Relationship Id="rId418" Type="http://schemas.openxmlformats.org/officeDocument/2006/relationships/hyperlink" Target="https://drive.google.com/a/uesc.br/file/d/0B9a5BtXYBva5WkxwSjl2Tk9HdUk/view?usp=sharing" TargetMode="External"/><Relationship Id="rId539" Type="http://schemas.openxmlformats.org/officeDocument/2006/relationships/hyperlink" Target="https://drive.google.com/file/d/1Vra-cGA5DpJQlaIS95LEcCOhF34FUY5L/view?usp=sharing" TargetMode="External"/><Relationship Id="rId417" Type="http://schemas.openxmlformats.org/officeDocument/2006/relationships/hyperlink" Target="https://drive.google.com/file/d/1Ybpr08dqllFm1n7uI7Y5IGD6kzzOwIBQ/view?usp=sharing" TargetMode="External"/><Relationship Id="rId538" Type="http://schemas.openxmlformats.org/officeDocument/2006/relationships/hyperlink" Target="https://drive.google.com/file/d/190VAeJmazRCXIiLf8by35WzOJABEGMtU/view?usp=sharing" TargetMode="External"/><Relationship Id="rId659" Type="http://schemas.openxmlformats.org/officeDocument/2006/relationships/hyperlink" Target="https://drive.google.com/file/d/1IkOaC0X01ZIgPIjtyeryRF5nV-9sTIuT/view?usp=sharing" TargetMode="External"/><Relationship Id="rId416" Type="http://schemas.openxmlformats.org/officeDocument/2006/relationships/hyperlink" Target="https://drive.google.com/a/uesc.br/file/d/0B9a5BtXYBva5Zmw2cXNETktEZkk/view?usp=sharing" TargetMode="External"/><Relationship Id="rId537" Type="http://schemas.openxmlformats.org/officeDocument/2006/relationships/hyperlink" Target="https://drive.google.com/open?id=1FVNZ1RYFxEDhUuG2zq6vK69FpHc5_BYU" TargetMode="External"/><Relationship Id="rId658" Type="http://schemas.openxmlformats.org/officeDocument/2006/relationships/hyperlink" Target="https://drive.google.com/file/d/1IkOaC0X01ZIgPIjtyeryRF5nV-9sTIuT/view?usp=sharing" TargetMode="External"/><Relationship Id="rId411" Type="http://schemas.openxmlformats.org/officeDocument/2006/relationships/hyperlink" Target="https://drive.google.com/file/d/1YHjWGHEIrZOuYJ6qCboYgEQZkXeGoecV/view?usp=sharing" TargetMode="External"/><Relationship Id="rId532" Type="http://schemas.openxmlformats.org/officeDocument/2006/relationships/hyperlink" Target="https://drive.google.com/file/d/1u3qx1eDmJd1rtSzuENWU-aMWcCE7fzOs/view?usp=sharing" TargetMode="External"/><Relationship Id="rId653" Type="http://schemas.openxmlformats.org/officeDocument/2006/relationships/hyperlink" Target="https://drive.google.com/file/d/18d5veLNjv8HZ8awFP3l7Q5hcK95NmsRa/view?usp=sharing" TargetMode="External"/><Relationship Id="rId410" Type="http://schemas.openxmlformats.org/officeDocument/2006/relationships/hyperlink" Target="https://drive.google.com/a/uesc.br/file/d/0B9a5BtXYBva5eGFWdEM2MDBFS1U/view?usp=sharing" TargetMode="External"/><Relationship Id="rId531" Type="http://schemas.openxmlformats.org/officeDocument/2006/relationships/hyperlink" Target="https://drive.google.com/file/d/1VYup7PE_sAa1Uj4mgj0M4A3gkUWz8itf/view?usp=sharing" TargetMode="External"/><Relationship Id="rId652" Type="http://schemas.openxmlformats.org/officeDocument/2006/relationships/hyperlink" Target="https://drive.google.com/file/d/18d5veLNjv8HZ8awFP3l7Q5hcK95NmsRa/view?usp=sharing" TargetMode="External"/><Relationship Id="rId530" Type="http://schemas.openxmlformats.org/officeDocument/2006/relationships/hyperlink" Target="https://drive.google.com/file/d/1M3ePS3i5vLv_aaXV3vXtSXZ-wSB2lnJO/view?usp=sharing" TargetMode="External"/><Relationship Id="rId651" Type="http://schemas.openxmlformats.org/officeDocument/2006/relationships/hyperlink" Target="https://drive.google.com/file/d/1Xb04IYUMqGr33pwQn-gpiOxb2dCwbhb6/view?usp=sharing" TargetMode="External"/><Relationship Id="rId650" Type="http://schemas.openxmlformats.org/officeDocument/2006/relationships/hyperlink" Target="https://drive.google.com/file/d/1Xb04IYUMqGr33pwQn-gpiOxb2dCwbhb6/view?usp=sharing" TargetMode="External"/><Relationship Id="rId206" Type="http://schemas.openxmlformats.org/officeDocument/2006/relationships/hyperlink" Target="https://drive.google.com/file/d/0B9a5BtXYBva5U01LTzBYcXlLNXc/view?usp=sharing" TargetMode="External"/><Relationship Id="rId327" Type="http://schemas.openxmlformats.org/officeDocument/2006/relationships/hyperlink" Target="https://drive.google.com/file/d/0B9a5BtXYBva5V1U0ZGlVWWtxNTQ/view?usp=sharing" TargetMode="External"/><Relationship Id="rId448" Type="http://schemas.openxmlformats.org/officeDocument/2006/relationships/hyperlink" Target="https://drive.google.com/a/uesc.br/file/d/0B9a5BtXYBva5WE5yX0trRjhIZEk/view?usp=sharing" TargetMode="External"/><Relationship Id="rId569" Type="http://schemas.openxmlformats.org/officeDocument/2006/relationships/hyperlink" Target="https://drive.google.com/open?id=1b4mIy_WD73zDbmk6FpgiAmVEwzoNzXkQ" TargetMode="External"/><Relationship Id="rId205" Type="http://schemas.openxmlformats.org/officeDocument/2006/relationships/hyperlink" Target="https://drive.google.com/file/d/0B9a5BtXYBva5Q1ZHRXk4TzNrNDA/view?usp=sharing" TargetMode="External"/><Relationship Id="rId326" Type="http://schemas.openxmlformats.org/officeDocument/2006/relationships/hyperlink" Target="https://drive.google.com/file/d/1ZcMwb5vnyLI71LMXZ-DpbeeAuDAuQAcr/view?usp=sharing" TargetMode="External"/><Relationship Id="rId447" Type="http://schemas.openxmlformats.org/officeDocument/2006/relationships/hyperlink" Target="https://drive.google.com/file/d/1649rIYGJJwwj8PIJN4d9vZp8hVQldZAZ/view?usp=sharing" TargetMode="External"/><Relationship Id="rId568" Type="http://schemas.openxmlformats.org/officeDocument/2006/relationships/hyperlink" Target="https://drive.google.com/file/d/1BsGdamPjhI4RSC86kxyZu6gsvULVPCGy/view?usp=sharing" TargetMode="External"/><Relationship Id="rId689" Type="http://schemas.openxmlformats.org/officeDocument/2006/relationships/hyperlink" Target="https://drive.google.com/file/d/1pE846uZYRbPnbJvBgL0Dr-1SCYEmazd2/view?usp=sharing" TargetMode="External"/><Relationship Id="rId204" Type="http://schemas.openxmlformats.org/officeDocument/2006/relationships/hyperlink" Target="https://drive.google.com/file/d/0B9a5BtXYBva5WUhfRUUybWJfNm8/view?usp=sharing" TargetMode="External"/><Relationship Id="rId325" Type="http://schemas.openxmlformats.org/officeDocument/2006/relationships/hyperlink" Target="https://drive.google.com/file/d/0B9a5BtXYBva5RFpWV0pSUTBpQnc/view?usp=sharing" TargetMode="External"/><Relationship Id="rId446" Type="http://schemas.openxmlformats.org/officeDocument/2006/relationships/hyperlink" Target="https://drive.google.com/a/uesc.br/file/d/0B9a5BtXYBva5MVN2MGhIWDhDd1k/view?usp=sharing" TargetMode="External"/><Relationship Id="rId567" Type="http://schemas.openxmlformats.org/officeDocument/2006/relationships/hyperlink" Target="https://drive.google.com/file/d/1LsmSbHDWOMLlw9CoQFgIZPva-AuiEFKE/view?usp=sharing" TargetMode="External"/><Relationship Id="rId688" Type="http://schemas.openxmlformats.org/officeDocument/2006/relationships/hyperlink" Target="https://drive.google.com/file/d/1pE846uZYRbPnbJvBgL0Dr-1SCYEmazd2/view?usp=sharing" TargetMode="External"/><Relationship Id="rId203" Type="http://schemas.openxmlformats.org/officeDocument/2006/relationships/hyperlink" Target="https://drive.google.com/file/d/0B9a5BtXYBva5anVFQ05yOFE2OUE/view?usp=sharing" TargetMode="External"/><Relationship Id="rId324" Type="http://schemas.openxmlformats.org/officeDocument/2006/relationships/hyperlink" Target="https://drive.google.com/file/d/1Ixi4XugrCPONOfa1TwL3R_spxXnlA5j6/view?usp=sharing" TargetMode="External"/><Relationship Id="rId445" Type="http://schemas.openxmlformats.org/officeDocument/2006/relationships/hyperlink" Target="https://drive.google.com/file/d/15aFN_JP6ADheaOvN0tlVzlvdYueYxF18/view?usp=sharing" TargetMode="External"/><Relationship Id="rId566" Type="http://schemas.openxmlformats.org/officeDocument/2006/relationships/hyperlink" Target="https://drive.google.com/file/d/1PUizfBGwacpZubMeONBjMVrOxCYHvYlH/view?usp=sharing" TargetMode="External"/><Relationship Id="rId687" Type="http://schemas.openxmlformats.org/officeDocument/2006/relationships/hyperlink" Target="https://drive.google.com/file/d/10SjVtfbRW_TXeqP53itIJ6pWMI37IgYb/view?usp=sharing" TargetMode="External"/><Relationship Id="rId209" Type="http://schemas.openxmlformats.org/officeDocument/2006/relationships/hyperlink" Target="https://drive.google.com/file/d/0B9a5BtXYBva5VllqQ0RQbzlZSVE/view?usp=sharing" TargetMode="External"/><Relationship Id="rId208" Type="http://schemas.openxmlformats.org/officeDocument/2006/relationships/hyperlink" Target="https://drive.google.com/file/d/0B9a5BtXYBva5Y3hGNUh0VGhDZVU/view?usp=sharing" TargetMode="External"/><Relationship Id="rId329" Type="http://schemas.openxmlformats.org/officeDocument/2006/relationships/hyperlink" Target="http://lattes.cnpq.br/7280162625236110" TargetMode="External"/><Relationship Id="rId207" Type="http://schemas.openxmlformats.org/officeDocument/2006/relationships/hyperlink" Target="https://drive.google.com/file/d/0B9a5BtXYBva5cHhkZ3JxV0RhOUU/view?usp=sharing" TargetMode="External"/><Relationship Id="rId328" Type="http://schemas.openxmlformats.org/officeDocument/2006/relationships/hyperlink" Target="https://drive.google.com/open?id=1rTEn4lGOeajglAh6N70agfoKE-TNkqRl" TargetMode="External"/><Relationship Id="rId449" Type="http://schemas.openxmlformats.org/officeDocument/2006/relationships/hyperlink" Target="https://drive.google.com/file/d/1Gii7RtVv-ITgxxyCs0vqcPYl3PHxAeWU/view?usp=sharing" TargetMode="External"/><Relationship Id="rId440" Type="http://schemas.openxmlformats.org/officeDocument/2006/relationships/hyperlink" Target="https://drive.google.com/a/uesc.br/file/d/0B9a5BtXYBva5SGNpWXJELTFhb1U/view?usp=sharing" TargetMode="External"/><Relationship Id="rId561" Type="http://schemas.openxmlformats.org/officeDocument/2006/relationships/hyperlink" Target="https://drive.google.com/open?id=17O4v1wdd2FmbFoPbM3nm1IRt-7Jqr4Zh" TargetMode="External"/><Relationship Id="rId682" Type="http://schemas.openxmlformats.org/officeDocument/2006/relationships/hyperlink" Target="https://drive.google.com/file/d/1V-9Z1FYXktaSzHZUQnhlUuyCvqXnPEtl/view?usp=sharing" TargetMode="External"/><Relationship Id="rId560" Type="http://schemas.openxmlformats.org/officeDocument/2006/relationships/hyperlink" Target="https://drive.google.com/file/d/1WcmCG695c9vn2UwXoJ1islyZvSYMXVUj/view?usp=sharing" TargetMode="External"/><Relationship Id="rId681" Type="http://schemas.openxmlformats.org/officeDocument/2006/relationships/hyperlink" Target="https://drive.google.com/file/d/1D6T4B1egXZCAA4QYgChGp29bItHOMAnf/view?usp=sharing" TargetMode="External"/><Relationship Id="rId680" Type="http://schemas.openxmlformats.org/officeDocument/2006/relationships/hyperlink" Target="https://drive.google.com/file/d/1D6T4B1egXZCAA4QYgChGp29bItHOMAnf/view?usp=sharing" TargetMode="External"/><Relationship Id="rId202" Type="http://schemas.openxmlformats.org/officeDocument/2006/relationships/hyperlink" Target="https://drive.google.com/file/d/0B9a5BtXYBva5NWQ5OHM3cXR5dWM/view?usp=sharing" TargetMode="External"/><Relationship Id="rId323" Type="http://schemas.openxmlformats.org/officeDocument/2006/relationships/hyperlink" Target="https://drive.google.com/file/d/0B9a5BtXYBva5aXNIQVhvRW45S0k/view?usp=sharing" TargetMode="External"/><Relationship Id="rId444" Type="http://schemas.openxmlformats.org/officeDocument/2006/relationships/hyperlink" Target="https://drive.google.com/a/uesc.br/file/d/0B9a5BtXYBva5ZWQxTjlVOTlpbGM/view?usp=sharing" TargetMode="External"/><Relationship Id="rId565" Type="http://schemas.openxmlformats.org/officeDocument/2006/relationships/hyperlink" Target="https://drive.google.com/open?id=1BMouAYMCxvZqAuUCVEqFpUH7W2_4ADXn" TargetMode="External"/><Relationship Id="rId686" Type="http://schemas.openxmlformats.org/officeDocument/2006/relationships/hyperlink" Target="https://drive.google.com/file/d/10SjVtfbRW_TXeqP53itIJ6pWMI37IgYb/view?usp=sharing" TargetMode="External"/><Relationship Id="rId201" Type="http://schemas.openxmlformats.org/officeDocument/2006/relationships/hyperlink" Target="https://drive.google.com/file/d/0B9a5BtXYBva5bU1JNEphSzFvQmM/view?usp=sharing" TargetMode="External"/><Relationship Id="rId322" Type="http://schemas.openxmlformats.org/officeDocument/2006/relationships/hyperlink" Target="https://drive.google.com/file/d/0B9a5BtXYBva5dXpUemtVS1lMbWM/view?usp=sharing" TargetMode="External"/><Relationship Id="rId443" Type="http://schemas.openxmlformats.org/officeDocument/2006/relationships/hyperlink" Target="https://drive.google.com/file/d/1CaYy84sf7lsXKB2W4AWmgYdg1tXaYbdb/view?usp=sharing" TargetMode="External"/><Relationship Id="rId564" Type="http://schemas.openxmlformats.org/officeDocument/2006/relationships/hyperlink" Target="https://drive.google.com/file/d/15bKV15JEtje3cNFc4rwp3cnMl84rw80f/view?usp=sharing" TargetMode="External"/><Relationship Id="rId685" Type="http://schemas.openxmlformats.org/officeDocument/2006/relationships/hyperlink" Target="https://drive.google.com/file/d/17MkYBo-g0uh8uZoM8FbWZ4ZmnD6v7iB3/view?usp=sharing" TargetMode="External"/><Relationship Id="rId200" Type="http://schemas.openxmlformats.org/officeDocument/2006/relationships/hyperlink" Target="https://drive.google.com/file/d/0B9a5BtXYBva5dGFQQ3lfdkJvUzA/view?usp=sharing" TargetMode="External"/><Relationship Id="rId321" Type="http://schemas.openxmlformats.org/officeDocument/2006/relationships/hyperlink" Target="https://drive.google.com/file/d/0B9a5BtXYBva5WmNjbFBoWXc3SFE/view?usp=sharing" TargetMode="External"/><Relationship Id="rId442" Type="http://schemas.openxmlformats.org/officeDocument/2006/relationships/hyperlink" Target="https://drive.google.com/a/uesc.br/file/d/0B9a5BtXYBva5WW4zZ1pHVzJjZDA/view?usp=sharing" TargetMode="External"/><Relationship Id="rId563" Type="http://schemas.openxmlformats.org/officeDocument/2006/relationships/hyperlink" Target="https://drive.google.com/file/d/1DjpWgwVZyLQgCoi6qTv4g5Qi8_wOcrPG/view?usp=sharing" TargetMode="External"/><Relationship Id="rId684" Type="http://schemas.openxmlformats.org/officeDocument/2006/relationships/hyperlink" Target="https://drive.google.com/file/d/17MkYBo-g0uh8uZoM8FbWZ4ZmnD6v7iB3/view?usp=sharing" TargetMode="External"/><Relationship Id="rId320" Type="http://schemas.openxmlformats.org/officeDocument/2006/relationships/hyperlink" Target="https://drive.google.com/file/d/0B9a5BtXYBva5NUtqN09hQ3R4dnc/view?usp=sharing" TargetMode="External"/><Relationship Id="rId441" Type="http://schemas.openxmlformats.org/officeDocument/2006/relationships/hyperlink" Target="https://drive.google.com/file/d/1Hw1lO4WMmOAksdGO2hc95btN8LHXay2M/view?usp=sharing" TargetMode="External"/><Relationship Id="rId562" Type="http://schemas.openxmlformats.org/officeDocument/2006/relationships/hyperlink" Target="https://drive.google.com/file/d/1vXsTM4KRcKRtVUJKur-7FrvJ6eQxkAcL/view?usp=sharing" TargetMode="External"/><Relationship Id="rId683" Type="http://schemas.openxmlformats.org/officeDocument/2006/relationships/hyperlink" Target="https://drive.google.com/file/d/1V-9Z1FYXktaSzHZUQnhlUuyCvqXnPEtl/view?usp=sharing" TargetMode="External"/><Relationship Id="rId316" Type="http://schemas.openxmlformats.org/officeDocument/2006/relationships/hyperlink" Target="https://drive.google.com/file/d/0B9a5BtXYBva5U3R1R2E5cV9ha2M/view?usp=sharing" TargetMode="External"/><Relationship Id="rId437" Type="http://schemas.openxmlformats.org/officeDocument/2006/relationships/hyperlink" Target="https://drive.google.com/file/d/1mj2TubZdBFGOJHqLuVZYcJfVQCJtExPW/view?usp=sharing" TargetMode="External"/><Relationship Id="rId558" Type="http://schemas.openxmlformats.org/officeDocument/2006/relationships/hyperlink" Target="https://drive.google.com/file/d/1Wtk2Fz7Dff_nQ0cCpAIk0rCGEt7ANckg/view?usp=sharing" TargetMode="External"/><Relationship Id="rId679" Type="http://schemas.openxmlformats.org/officeDocument/2006/relationships/hyperlink" Target="https://drive.google.com/file/d/1lbfBQ-L44frBJprzwn4ivAD1hCDDuZ22/view?usp=sharing" TargetMode="External"/><Relationship Id="rId315" Type="http://schemas.openxmlformats.org/officeDocument/2006/relationships/hyperlink" Target="https://drive.google.com/open?id=1R3l7YGzpEzRB0l3T1PLc9g7CkhjDttAf" TargetMode="External"/><Relationship Id="rId436" Type="http://schemas.openxmlformats.org/officeDocument/2006/relationships/hyperlink" Target="https://drive.google.com/a/uesc.br/file/d/0B9a5BtXYBva5RDE0WmpwcVlDc1E/view?usp=sharing" TargetMode="External"/><Relationship Id="rId557" Type="http://schemas.openxmlformats.org/officeDocument/2006/relationships/hyperlink" Target="https://drive.google.com/open?id=1bfi_-gZoFkvcJrLAlcS8TFZuANxdlRsJ" TargetMode="External"/><Relationship Id="rId678" Type="http://schemas.openxmlformats.org/officeDocument/2006/relationships/hyperlink" Target="https://drive.google.com/file/d/1lbfBQ-L44frBJprzwn4ivAD1hCDDuZ22/view?usp=sharing" TargetMode="External"/><Relationship Id="rId314" Type="http://schemas.openxmlformats.org/officeDocument/2006/relationships/hyperlink" Target="https://drive.google.com/file/d/0B9a5BtXYBva5cDlyaXVxUG9oM3M/view?usp=sharing" TargetMode="External"/><Relationship Id="rId435" Type="http://schemas.openxmlformats.org/officeDocument/2006/relationships/hyperlink" Target="https://drive.google.com/file/d/1GS8bb_szvlqMspbIY2bWrZWaqSyDPcRs/view?usp=sharing" TargetMode="External"/><Relationship Id="rId556" Type="http://schemas.openxmlformats.org/officeDocument/2006/relationships/hyperlink" Target="https://drive.google.com/file/d/1gtdLy2XHh4t9ptULBFoBDg8pPyFBGYeV/view?usp=sharing" TargetMode="External"/><Relationship Id="rId677" Type="http://schemas.openxmlformats.org/officeDocument/2006/relationships/hyperlink" Target="https://drive.google.com/file/d/1p_iZc17AJLyl3dvUmO_pT32t77OrTYmx/view?usp=sharing" TargetMode="External"/><Relationship Id="rId313" Type="http://schemas.openxmlformats.org/officeDocument/2006/relationships/hyperlink" Target="https://drive.google.com/file/d/0B9a5BtXYBva5ZVBBdVluRDhtdzQ/view?usp=sharing" TargetMode="External"/><Relationship Id="rId434" Type="http://schemas.openxmlformats.org/officeDocument/2006/relationships/hyperlink" Target="https://drive.google.com/a/uesc.br/file/d/0B9a5BtXYBva5TFdWcjBzeEZ0T1U/view?usp=sharing" TargetMode="External"/><Relationship Id="rId555" Type="http://schemas.openxmlformats.org/officeDocument/2006/relationships/hyperlink" Target="https://drive.google.com/file/d/1o0iev1qdZksIeTr-oMxvgCJPZAKEnuVV/view?usp=sharing" TargetMode="External"/><Relationship Id="rId676" Type="http://schemas.openxmlformats.org/officeDocument/2006/relationships/hyperlink" Target="https://drive.google.com/file/d/1p_iZc17AJLyl3dvUmO_pT32t77OrTYmx/view?usp=sharing" TargetMode="External"/><Relationship Id="rId319" Type="http://schemas.openxmlformats.org/officeDocument/2006/relationships/hyperlink" Target="https://drive.google.com/file/d/0B9a5BtXYBva5LVFZYVRuR2Jta2c/view?usp=sharing" TargetMode="External"/><Relationship Id="rId318" Type="http://schemas.openxmlformats.org/officeDocument/2006/relationships/hyperlink" Target="https://drive.google.com/file/d/0B9a5BtXYBva5OG1TMnZKWXJFNm8/view?usp=sharing" TargetMode="External"/><Relationship Id="rId439" Type="http://schemas.openxmlformats.org/officeDocument/2006/relationships/hyperlink" Target="https://drive.google.com/file/d/1yVjHSUqcPwmiJgLrJkmy-eRJM_7Yf-qr/view?usp=sharing" TargetMode="External"/><Relationship Id="rId317" Type="http://schemas.openxmlformats.org/officeDocument/2006/relationships/hyperlink" Target="https://drive.google.com/file/d/0B9a5BtXYBva5b1ppXzI3NzZzN3c/view?usp=sharing" TargetMode="External"/><Relationship Id="rId438" Type="http://schemas.openxmlformats.org/officeDocument/2006/relationships/hyperlink" Target="https://drive.google.com/a/uesc.br/file/d/0B9a5BtXYBva5eC1OZjdjSXgwN1U/view?usp=sharing" TargetMode="External"/><Relationship Id="rId559" Type="http://schemas.openxmlformats.org/officeDocument/2006/relationships/hyperlink" Target="https://drive.google.com/file/d/1eS-YNciHHnXhB4TzjyAhkD8BeQD_LMOB/view?usp=sharing" TargetMode="External"/><Relationship Id="rId550" Type="http://schemas.openxmlformats.org/officeDocument/2006/relationships/hyperlink" Target="https://drive.google.com/file/d/1x8oNtXnToAVJFuRT11TMTLUKuueQMwvc/view?usp=sharing" TargetMode="External"/><Relationship Id="rId671" Type="http://schemas.openxmlformats.org/officeDocument/2006/relationships/hyperlink" Target="https://drive.google.com/file/d/1kSKDYDP-_TT_H1QTyNausdfix9taM4LW/view?usp=sharing" TargetMode="External"/><Relationship Id="rId670" Type="http://schemas.openxmlformats.org/officeDocument/2006/relationships/hyperlink" Target="https://drive.google.com/file/d/1kSKDYDP-_TT_H1QTyNausdfix9taM4LW/view?usp=sharing" TargetMode="External"/><Relationship Id="rId312" Type="http://schemas.openxmlformats.org/officeDocument/2006/relationships/hyperlink" Target="https://drive.google.com/file/d/0B9a5BtXYBva5RzJZSnhxek9IWjQ/view?usp=sharing" TargetMode="External"/><Relationship Id="rId433" Type="http://schemas.openxmlformats.org/officeDocument/2006/relationships/hyperlink" Target="https://drive.google.com/file/d/1im53dQeNJegcHn-MmIX97eLOG6fMvzY5/view?usp=sharing" TargetMode="External"/><Relationship Id="rId554" Type="http://schemas.openxmlformats.org/officeDocument/2006/relationships/hyperlink" Target="https://drive.google.com/file/d/1bNa60Umw8lUfP_1fFHbzISiSA5NboCKm/view?usp=sharing" TargetMode="External"/><Relationship Id="rId675" Type="http://schemas.openxmlformats.org/officeDocument/2006/relationships/hyperlink" Target="https://drive.google.com/file/d/1sAF5g3wv3ib9KyLCiDo9cwgA3hdqYsFz/view?usp=sharing" TargetMode="External"/><Relationship Id="rId311" Type="http://schemas.openxmlformats.org/officeDocument/2006/relationships/hyperlink" Target="https://drive.google.com/file/d/0B9a5BtXYBva5MWVSZlF0dGh6UmM/view?usp=sharing" TargetMode="External"/><Relationship Id="rId432" Type="http://schemas.openxmlformats.org/officeDocument/2006/relationships/hyperlink" Target="https://drive.google.com/a/uesc.br/file/d/0B9a5BtXYBva5YWx6ZmlPaW13S3M/view?usp=sharing" TargetMode="External"/><Relationship Id="rId553" Type="http://schemas.openxmlformats.org/officeDocument/2006/relationships/hyperlink" Target="https://drive.google.com/open?id=1AAMDUxG0_N1ru6ksKNaUFoqIV0kdXj3d" TargetMode="External"/><Relationship Id="rId674" Type="http://schemas.openxmlformats.org/officeDocument/2006/relationships/hyperlink" Target="https://drive.google.com/file/d/1sAF5g3wv3ib9KyLCiDo9cwgA3hdqYsFz/view?usp=sharing" TargetMode="External"/><Relationship Id="rId310" Type="http://schemas.openxmlformats.org/officeDocument/2006/relationships/hyperlink" Target="https://drive.google.com/file/d/0B9a5BtXYBva5WmExQTZpdVRhR00/view?usp=sharing" TargetMode="External"/><Relationship Id="rId431" Type="http://schemas.openxmlformats.org/officeDocument/2006/relationships/hyperlink" Target="https://drive.google.com/file/d/1JT0dyLI-dNU3hMjDskX1BDkJ5mudlu2D/view?usp=sharing" TargetMode="External"/><Relationship Id="rId552" Type="http://schemas.openxmlformats.org/officeDocument/2006/relationships/hyperlink" Target="https://drive.google.com/file/d/1h0L8E51oxA7ypcOFput25NhzCjOTpu7w/view?usp=sharing" TargetMode="External"/><Relationship Id="rId673" Type="http://schemas.openxmlformats.org/officeDocument/2006/relationships/hyperlink" Target="https://drive.google.com/file/d/195Nsj1NjHGEAvvqCDEMalLHOD2hW9Y0H/view?usp=sharing" TargetMode="External"/><Relationship Id="rId430" Type="http://schemas.openxmlformats.org/officeDocument/2006/relationships/hyperlink" Target="https://drive.google.com/a/uesc.br/file/d/0B9a5BtXYBva5MEFLcjUxemlaaFk/view?usp=sharing" TargetMode="External"/><Relationship Id="rId551" Type="http://schemas.openxmlformats.org/officeDocument/2006/relationships/hyperlink" Target="https://drive.google.com/file/d/1L_AzQ057f-SQUmXYVvuQZKhQr6jVQCf3/view?usp=sharing" TargetMode="External"/><Relationship Id="rId672" Type="http://schemas.openxmlformats.org/officeDocument/2006/relationships/hyperlink" Target="https://drive.google.com/file/d/195Nsj1NjHGEAvvqCDEMalLHOD2hW9Y0H/view?usp=sharing" TargetMode="External"/></Relationships>
</file>

<file path=xl/worksheets/_rels/sheet2.xml.rels><?xml version="1.0" encoding="UTF-8" standalone="yes"?><Relationships xmlns="http://schemas.openxmlformats.org/package/2006/relationships"><Relationship Id="rId190" Type="http://schemas.openxmlformats.org/officeDocument/2006/relationships/hyperlink" Target="https://drive.google.com/file/d/0B9a5BtXYBva5amNYR3RnSTRmdkU/view?usp=sharing" TargetMode="External"/><Relationship Id="rId194" Type="http://schemas.openxmlformats.org/officeDocument/2006/relationships/hyperlink" Target="https://drive.google.com/file/d/0B9a5BtXYBva5anFwYldYQWpCOUE/view?usp=sharing" TargetMode="External"/><Relationship Id="rId193" Type="http://schemas.openxmlformats.org/officeDocument/2006/relationships/hyperlink" Target="https://drive.google.com/file/d/0B9a5BtXYBva5bUxQVnlENF90bG8/view?usp=sharing" TargetMode="External"/><Relationship Id="rId192" Type="http://schemas.openxmlformats.org/officeDocument/2006/relationships/hyperlink" Target="https://drive.google.com/file/d/0B9a5BtXYBva5MVk5VXhUUmtXQ0k/view?usp=sharing" TargetMode="External"/><Relationship Id="rId191" Type="http://schemas.openxmlformats.org/officeDocument/2006/relationships/hyperlink" Target="https://drive.google.com/file/d/0B9a5BtXYBva5TWY1cmVlYkQzV1k/view?usp=sharing" TargetMode="External"/><Relationship Id="rId187" Type="http://schemas.openxmlformats.org/officeDocument/2006/relationships/hyperlink" Target="https://drive.google.com/file/d/0B9a5BtXYBva5eDdwZ1RaRTc4SlE/view?usp=sharing" TargetMode="External"/><Relationship Id="rId186" Type="http://schemas.openxmlformats.org/officeDocument/2006/relationships/hyperlink" Target="https://drive.google.com/file/d/0B9a5BtXYBva5ZENLb044MVFKYTA/view?usp=sharing" TargetMode="External"/><Relationship Id="rId185" Type="http://schemas.openxmlformats.org/officeDocument/2006/relationships/hyperlink" Target="https://drive.google.com/file/d/0B9a5BtXYBva5STlaejNLcVctMVE/view?usp=sharing" TargetMode="External"/><Relationship Id="rId184" Type="http://schemas.openxmlformats.org/officeDocument/2006/relationships/hyperlink" Target="https://drive.google.com/file/d/0B9a5BtXYBva5eVAwSFlrWjdUTmc/view?usp=sharing" TargetMode="External"/><Relationship Id="rId189" Type="http://schemas.openxmlformats.org/officeDocument/2006/relationships/hyperlink" Target="https://drive.google.com/file/d/0B9a5BtXYBva5NHBUVUc1X2VmZ2c/view?usp=sharing" TargetMode="External"/><Relationship Id="rId188" Type="http://schemas.openxmlformats.org/officeDocument/2006/relationships/hyperlink" Target="https://drive.google.com/file/d/0B9a5BtXYBva5OTRidzlSNC03V1U/view?usp=sharing" TargetMode="External"/><Relationship Id="rId183" Type="http://schemas.openxmlformats.org/officeDocument/2006/relationships/hyperlink" Target="https://drive.google.com/file/d/0B9a5BtXYBva5MTMxYUxlYlpOR2M/view?usp=sharing" TargetMode="External"/><Relationship Id="rId182" Type="http://schemas.openxmlformats.org/officeDocument/2006/relationships/hyperlink" Target="https://drive.google.com/file/d/0B9a5BtXYBva5SVYwc1p0UjBjR28/view?usp=sharing" TargetMode="External"/><Relationship Id="rId181" Type="http://schemas.openxmlformats.org/officeDocument/2006/relationships/hyperlink" Target="https://drive.google.com/file/d/0B9a5BtXYBva5cUw2RWJzMldUSzQ/view?usp=sharing" TargetMode="External"/><Relationship Id="rId180" Type="http://schemas.openxmlformats.org/officeDocument/2006/relationships/hyperlink" Target="https://drive.google.com/file/d/0B9a5BtXYBva5Y0E3ZUxoVk1XRmM/view?usp=sharing" TargetMode="External"/><Relationship Id="rId176" Type="http://schemas.openxmlformats.org/officeDocument/2006/relationships/hyperlink" Target="https://drive.google.com/file/d/0B9a5BtXYBva5RldlU0Z6NEZZSXc/view?usp=sharing" TargetMode="External"/><Relationship Id="rId297" Type="http://schemas.openxmlformats.org/officeDocument/2006/relationships/hyperlink" Target="https://drive.google.com/file/d/0B9a5BtXYBva5SzdsbnlKcktUNVU/view?usp=sharing" TargetMode="External"/><Relationship Id="rId175" Type="http://schemas.openxmlformats.org/officeDocument/2006/relationships/hyperlink" Target="https://drive.google.com/file/d/0B9a5BtXYBva5MTloYk5RS3F3WG8/view?usp=sharing" TargetMode="External"/><Relationship Id="rId296" Type="http://schemas.openxmlformats.org/officeDocument/2006/relationships/hyperlink" Target="https://drive.google.com/file/d/0B9a5BtXYBva5UmF0UENMX3FqY1E/view?usp=sharing" TargetMode="External"/><Relationship Id="rId174" Type="http://schemas.openxmlformats.org/officeDocument/2006/relationships/hyperlink" Target="https://drive.google.com/file/d/0B9a5BtXYBva5TXJjcWVVQmNyZ1E/view?usp=sharing" TargetMode="External"/><Relationship Id="rId295" Type="http://schemas.openxmlformats.org/officeDocument/2006/relationships/hyperlink" Target="https://drive.google.com/file/d/0B9a5BtXYBva5RkdXT1B6SV9tZ00/view?usp=sharing" TargetMode="External"/><Relationship Id="rId173" Type="http://schemas.openxmlformats.org/officeDocument/2006/relationships/hyperlink" Target="https://drive.google.com/file/d/0B9a5BtXYBva5WjAtdGZ1U1kzbVU/view?usp=sharing" TargetMode="External"/><Relationship Id="rId294" Type="http://schemas.openxmlformats.org/officeDocument/2006/relationships/hyperlink" Target="https://drive.google.com/file/d/0B9a5BtXYBva5bkcyVS0yelBacVE/view?usp=sharing" TargetMode="External"/><Relationship Id="rId179" Type="http://schemas.openxmlformats.org/officeDocument/2006/relationships/hyperlink" Target="https://drive.google.com/file/d/0B9a5BtXYBva5VnFuejdkOFBSYUk/view?usp=sharing" TargetMode="External"/><Relationship Id="rId178" Type="http://schemas.openxmlformats.org/officeDocument/2006/relationships/hyperlink" Target="https://drive.google.com/file/d/0B9a5BtXYBva5OWIxYllhRGkxWHM/view?usp=sharing" TargetMode="External"/><Relationship Id="rId299" Type="http://schemas.openxmlformats.org/officeDocument/2006/relationships/hyperlink" Target="https://drive.google.com/file/d/0B9a5BtXYBva5RnktQndKYXJnMjQ/view?usp=sharing" TargetMode="External"/><Relationship Id="rId177" Type="http://schemas.openxmlformats.org/officeDocument/2006/relationships/hyperlink" Target="https://drive.google.com/file/d/0B9a5BtXYBva5T0lsOWNzZ2IyVkE/view?usp=sharing" TargetMode="External"/><Relationship Id="rId298" Type="http://schemas.openxmlformats.org/officeDocument/2006/relationships/hyperlink" Target="https://drive.google.com/file/d/0B9a5BtXYBva5TUItbXJBaEx1b2M/view?usp=sharing" TargetMode="External"/><Relationship Id="rId198" Type="http://schemas.openxmlformats.org/officeDocument/2006/relationships/hyperlink" Target="https://drive.google.com/file/d/0B9a5BtXYBva5eTd3SEhXSklEWHc/view?usp=sharing" TargetMode="External"/><Relationship Id="rId197" Type="http://schemas.openxmlformats.org/officeDocument/2006/relationships/hyperlink" Target="https://drive.google.com/file/d/0B9a5BtXYBva5R0Z0ZDZEQ2xhSlU/view?usp=sharing" TargetMode="External"/><Relationship Id="rId196" Type="http://schemas.openxmlformats.org/officeDocument/2006/relationships/hyperlink" Target="https://drive.google.com/file/d/0B9a5BtXYBva5ME5NRjk0NjB1a2s/view?usp=sharing" TargetMode="External"/><Relationship Id="rId195" Type="http://schemas.openxmlformats.org/officeDocument/2006/relationships/hyperlink" Target="https://drive.google.com/file/d/0B9a5BtXYBva5T2lmdjRuWXl6WFE/view?usp=sharing" TargetMode="External"/><Relationship Id="rId199" Type="http://schemas.openxmlformats.org/officeDocument/2006/relationships/hyperlink" Target="https://drive.google.com/file/d/0B9a5BtXYBva5Ym1ueGFDV3ozTkU/view?usp=sharing" TargetMode="External"/><Relationship Id="rId150" Type="http://schemas.openxmlformats.org/officeDocument/2006/relationships/hyperlink" Target="https://drive.google.com/file/d/0B9a5BtXYBva5aDExdHQxdllVX0E/view?usp=sharing" TargetMode="External"/><Relationship Id="rId271" Type="http://schemas.openxmlformats.org/officeDocument/2006/relationships/hyperlink" Target="https://drive.google.com/file/d/0B9a5BtXYBva5bU9ySmVQQ3JIRWs/view?usp=sharing" TargetMode="External"/><Relationship Id="rId392" Type="http://schemas.openxmlformats.org/officeDocument/2006/relationships/hyperlink" Target="https://drive.google.com/file/d/0B9a5BtXYBva5bWY5RU9mVFp5ZHM/view?usp=sharing" TargetMode="External"/><Relationship Id="rId270" Type="http://schemas.openxmlformats.org/officeDocument/2006/relationships/hyperlink" Target="https://drive.google.com/file/d/0B9a5BtXYBva5Q19lZW82MGtsdEE/view?usp=sharing" TargetMode="External"/><Relationship Id="rId391" Type="http://schemas.openxmlformats.org/officeDocument/2006/relationships/hyperlink" Target="https://drive.google.com/file/d/0B9a5BtXYBva5Ry1hLUdOX1B6NWs/view?usp=sharing" TargetMode="External"/><Relationship Id="rId390" Type="http://schemas.openxmlformats.org/officeDocument/2006/relationships/hyperlink" Target="https://drive.google.com/file/d/0B9a5BtXYBva5bENlWU1DZllWTjA/view?usp=sharing" TargetMode="External"/><Relationship Id="rId1" Type="http://schemas.openxmlformats.org/officeDocument/2006/relationships/hyperlink" Target="https://drive.google.com/file/d/0B9a5BtXYBva5blpBQ2QxSmExbVk/view?usp=sharing" TargetMode="External"/><Relationship Id="rId2" Type="http://schemas.openxmlformats.org/officeDocument/2006/relationships/hyperlink" Target="https://drive.google.com/file/d/0B9a5BtXYBva5T0VSci00dkFIeUk/view?usp=sharing" TargetMode="External"/><Relationship Id="rId3" Type="http://schemas.openxmlformats.org/officeDocument/2006/relationships/hyperlink" Target="https://drive.google.com/file/d/0B9a5BtXYBva5b0tvS1Q4UjZYTUU/view?usp=sharing" TargetMode="External"/><Relationship Id="rId149" Type="http://schemas.openxmlformats.org/officeDocument/2006/relationships/hyperlink" Target="https://drive.google.com/file/d/0B9a5BtXYBva5SnNhaWNSSjlQb1E/view?usp=sharing" TargetMode="External"/><Relationship Id="rId4" Type="http://schemas.openxmlformats.org/officeDocument/2006/relationships/hyperlink" Target="https://drive.google.com/file/d/0B9a5BtXYBva5T3pHRGcyQXI4TlU/view?usp=sharing" TargetMode="External"/><Relationship Id="rId148" Type="http://schemas.openxmlformats.org/officeDocument/2006/relationships/hyperlink" Target="https://drive.google.com/file/d/0B9a5BtXYBva5UE9wM1RnS3NmTzA/view?usp=sharing" TargetMode="External"/><Relationship Id="rId269" Type="http://schemas.openxmlformats.org/officeDocument/2006/relationships/hyperlink" Target="https://drive.google.com/file/d/0B9a5BtXYBva5ckJMaXR5dVhkSFk/view?usp=sharing" TargetMode="External"/><Relationship Id="rId9" Type="http://schemas.openxmlformats.org/officeDocument/2006/relationships/hyperlink" Target="https://drive.google.com/file/d/0B9a5BtXYBva5NTRieGYzLXhSd2s/view?usp=sharing" TargetMode="External"/><Relationship Id="rId143" Type="http://schemas.openxmlformats.org/officeDocument/2006/relationships/hyperlink" Target="https://drive.google.com/file/d/0B9a5BtXYBva5UzBONE0xZ3FQM28/view?usp=sharing" TargetMode="External"/><Relationship Id="rId264" Type="http://schemas.openxmlformats.org/officeDocument/2006/relationships/hyperlink" Target="https://drive.google.com/file/d/0B9a5BtXYBva5dEVzVzlONk1wYTQ/view?usp=sharing" TargetMode="External"/><Relationship Id="rId385" Type="http://schemas.openxmlformats.org/officeDocument/2006/relationships/hyperlink" Target="https://drive.google.com/file/d/0B9a5BtXYBva5aE1zXzRscld6cW8/view?usp=sharing" TargetMode="External"/><Relationship Id="rId142" Type="http://schemas.openxmlformats.org/officeDocument/2006/relationships/hyperlink" Target="https://drive.google.com/file/d/0B9a5BtXYBva5ZGZhMW5yd0h2dVE/view?usp=sharing" TargetMode="External"/><Relationship Id="rId263" Type="http://schemas.openxmlformats.org/officeDocument/2006/relationships/hyperlink" Target="https://drive.google.com/file/d/0B9a5BtXYBva5WXhZbi01WGUtOU0/view?usp=sharing" TargetMode="External"/><Relationship Id="rId384" Type="http://schemas.openxmlformats.org/officeDocument/2006/relationships/hyperlink" Target="https://drive.google.com/file/d/0B9a5BtXYBva5NkVnMEdST0lJSGs/view?usp=sharing" TargetMode="External"/><Relationship Id="rId141" Type="http://schemas.openxmlformats.org/officeDocument/2006/relationships/hyperlink" Target="https://drive.google.com/file/d/0B9a5BtXYBva5dTZsbzRCZldkSW8/view?usp=sharing" TargetMode="External"/><Relationship Id="rId262" Type="http://schemas.openxmlformats.org/officeDocument/2006/relationships/hyperlink" Target="https://drive.google.com/file/d/0B9a5BtXYBva5U2xKbG90eXQxQk0/view?usp=sharing" TargetMode="External"/><Relationship Id="rId383" Type="http://schemas.openxmlformats.org/officeDocument/2006/relationships/hyperlink" Target="https://drive.google.com/file/d/0B9a5BtXYBva5TUNDdWc2MjNFVW8/view?usp=sharing" TargetMode="External"/><Relationship Id="rId140" Type="http://schemas.openxmlformats.org/officeDocument/2006/relationships/hyperlink" Target="https://drive.google.com/file/d/0B9a5BtXYBva5S3FwaGlsMldGLVU/view?usp=sharing" TargetMode="External"/><Relationship Id="rId261" Type="http://schemas.openxmlformats.org/officeDocument/2006/relationships/hyperlink" Target="https://drive.google.com/file/d/0B9a5BtXYBva5N1ZYUUpvNE5UWHM/view?usp=sharing" TargetMode="External"/><Relationship Id="rId382" Type="http://schemas.openxmlformats.org/officeDocument/2006/relationships/hyperlink" Target="https://drive.google.com/file/d/0B9a5BtXYBva5NWxqb2hsYlVoX0E/view?usp=sharing" TargetMode="External"/><Relationship Id="rId5" Type="http://schemas.openxmlformats.org/officeDocument/2006/relationships/hyperlink" Target="https://drive.google.com/file/d/0B9a5BtXYBva5aWJXUTdVanRpU0k/view?usp=sharing" TargetMode="External"/><Relationship Id="rId147" Type="http://schemas.openxmlformats.org/officeDocument/2006/relationships/hyperlink" Target="https://drive.google.com/file/d/0B9a5BtXYBva5eU5DWEJubnU4enc/view?usp=sharing" TargetMode="External"/><Relationship Id="rId268" Type="http://schemas.openxmlformats.org/officeDocument/2006/relationships/hyperlink" Target="https://drive.google.com/file/d/0B9a5BtXYBva5RVdIUE8wR2tYUEU/view?usp=sharing" TargetMode="External"/><Relationship Id="rId389" Type="http://schemas.openxmlformats.org/officeDocument/2006/relationships/hyperlink" Target="https://drive.google.com/file/d/0B9a5BtXYBva5OTc0akNFOUFBUTA/view?usp=sharing" TargetMode="External"/><Relationship Id="rId6" Type="http://schemas.openxmlformats.org/officeDocument/2006/relationships/hyperlink" Target="https://drive.google.com/file/d/0B9a5BtXYBva5VmpsNzNPTmR1c0k/view?usp=sharing" TargetMode="External"/><Relationship Id="rId146" Type="http://schemas.openxmlformats.org/officeDocument/2006/relationships/hyperlink" Target="https://drive.google.com/file/d/0B9a5BtXYBva5NXVPWmNVVzdOSzQ/view?usp=sharing" TargetMode="External"/><Relationship Id="rId267" Type="http://schemas.openxmlformats.org/officeDocument/2006/relationships/hyperlink" Target="https://drive.google.com/file/d/0B9a5BtXYBva5dm1iYk1pSHlLczA/view?usp=sharing" TargetMode="External"/><Relationship Id="rId388" Type="http://schemas.openxmlformats.org/officeDocument/2006/relationships/hyperlink" Target="https://drive.google.com/file/d/0B9a5BtXYBva5RExyT0E5OUtMZDA/view?usp=sharing" TargetMode="External"/><Relationship Id="rId7" Type="http://schemas.openxmlformats.org/officeDocument/2006/relationships/hyperlink" Target="https://drive.google.com/file/d/0B9a5BtXYBva5Z2gyUHhZNlRLT2s/view?usp=sharing" TargetMode="External"/><Relationship Id="rId145" Type="http://schemas.openxmlformats.org/officeDocument/2006/relationships/hyperlink" Target="https://drive.google.com/file/d/0B9a5BtXYBva5ekNwVlJMano3R2M/view?usp=sharing" TargetMode="External"/><Relationship Id="rId266" Type="http://schemas.openxmlformats.org/officeDocument/2006/relationships/hyperlink" Target="https://drive.google.com/file/d/0B9a5BtXYBva5SXFRUEtjT0tOa00/view?usp=sharing" TargetMode="External"/><Relationship Id="rId387" Type="http://schemas.openxmlformats.org/officeDocument/2006/relationships/hyperlink" Target="https://drive.google.com/file/d/0B9a5BtXYBva5d040R3A3RUp0bU0/view?usp=sharing" TargetMode="External"/><Relationship Id="rId8" Type="http://schemas.openxmlformats.org/officeDocument/2006/relationships/hyperlink" Target="https://drive.google.com/file/d/0B9a5BtXYBva5NU12QXd5aFpzbnc/view?usp=sharing" TargetMode="External"/><Relationship Id="rId144" Type="http://schemas.openxmlformats.org/officeDocument/2006/relationships/hyperlink" Target="https://drive.google.com/file/d/0B9a5BtXYBva5MXl6aC1sWjdVT1E/view?usp=sharing" TargetMode="External"/><Relationship Id="rId265" Type="http://schemas.openxmlformats.org/officeDocument/2006/relationships/hyperlink" Target="https://drive.google.com/file/d/0B9a5BtXYBva5R2psQWJHekhwSUU/view?usp=sharing" TargetMode="External"/><Relationship Id="rId386" Type="http://schemas.openxmlformats.org/officeDocument/2006/relationships/hyperlink" Target="https://drive.google.com/file/d/0B9a5BtXYBva5NEE3NTBuQzc4NHM/view?usp=sharing" TargetMode="External"/><Relationship Id="rId260" Type="http://schemas.openxmlformats.org/officeDocument/2006/relationships/hyperlink" Target="https://drive.google.com/file/d/0B9a5BtXYBva5NjFkcDFwaFJkaWs/view?usp=sharing" TargetMode="External"/><Relationship Id="rId381" Type="http://schemas.openxmlformats.org/officeDocument/2006/relationships/hyperlink" Target="https://drive.google.com/file/d/0B9a5BtXYBva5TDBHSFpCM3ZYTmc/view?usp=sharing" TargetMode="External"/><Relationship Id="rId380" Type="http://schemas.openxmlformats.org/officeDocument/2006/relationships/hyperlink" Target="https://drive.google.com/file/d/0B9a5BtXYBva5a3JhWWUyZUgwQnc/view?usp=sharing" TargetMode="External"/><Relationship Id="rId139" Type="http://schemas.openxmlformats.org/officeDocument/2006/relationships/hyperlink" Target="https://drive.google.com/file/d/0B9a5BtXYBva5Q0tmcjVjSEtGRk0/view?usp=sharing" TargetMode="External"/><Relationship Id="rId138" Type="http://schemas.openxmlformats.org/officeDocument/2006/relationships/hyperlink" Target="https://drive.google.com/file/d/0B9a5BtXYBva5OU0wUi0zb3VDUXM/view?usp=sharing" TargetMode="External"/><Relationship Id="rId259" Type="http://schemas.openxmlformats.org/officeDocument/2006/relationships/hyperlink" Target="https://drive.google.com/file/d/0B9a5BtXYBva5WlpQSXlSamZESTQ/view?usp=sharing" TargetMode="External"/><Relationship Id="rId137" Type="http://schemas.openxmlformats.org/officeDocument/2006/relationships/hyperlink" Target="https://drive.google.com/file/d/0B9a5BtXYBva5RlozejBFeFZpUFk/view?usp=sharing" TargetMode="External"/><Relationship Id="rId258" Type="http://schemas.openxmlformats.org/officeDocument/2006/relationships/hyperlink" Target="https://drive.google.com/file/d/0B9a5BtXYBva5QW5VUC1IZ3JhWGs/view?usp=sharing" TargetMode="External"/><Relationship Id="rId379" Type="http://schemas.openxmlformats.org/officeDocument/2006/relationships/hyperlink" Target="https://drive.google.com/file/d/0B9a5BtXYBva5U0hGZXFuRzl0cUU/view?usp=sharing" TargetMode="External"/><Relationship Id="rId132" Type="http://schemas.openxmlformats.org/officeDocument/2006/relationships/hyperlink" Target="https://drive.google.com/file/d/0B9a5BtXYBva5c3dQczhCYkdIcmc/view?usp=sharing" TargetMode="External"/><Relationship Id="rId253" Type="http://schemas.openxmlformats.org/officeDocument/2006/relationships/hyperlink" Target="https://drive.google.com/file/d/0B9a5BtXYBva5NGtUYl9WcDRWaG8/view?usp=sharing" TargetMode="External"/><Relationship Id="rId374" Type="http://schemas.openxmlformats.org/officeDocument/2006/relationships/hyperlink" Target="https://drive.google.com/file/d/0B9a5BtXYBva5ZmRNaEZTc2czcWc/view?usp=sharing" TargetMode="External"/><Relationship Id="rId495" Type="http://schemas.openxmlformats.org/officeDocument/2006/relationships/hyperlink" Target="https://drive.google.com/file/d/0B9a5BtXYBva5eHV4MDh1LWJObVk/view?usp=sharing" TargetMode="External"/><Relationship Id="rId131" Type="http://schemas.openxmlformats.org/officeDocument/2006/relationships/hyperlink" Target="https://drive.google.com/file/d/0B9a5BtXYBva5U1lhZE96RS1pc2M/view?usp=sharing" TargetMode="External"/><Relationship Id="rId252" Type="http://schemas.openxmlformats.org/officeDocument/2006/relationships/hyperlink" Target="https://drive.google.com/file/d/0B9a5BtXYBva5Q0pxSmhsSkRPdnc/view?usp=sharing" TargetMode="External"/><Relationship Id="rId373" Type="http://schemas.openxmlformats.org/officeDocument/2006/relationships/hyperlink" Target="https://drive.google.com/file/d/0B9a5BtXYBva5OU9sRlBFT2RkYjQ/view?usp=sharing" TargetMode="External"/><Relationship Id="rId494" Type="http://schemas.openxmlformats.org/officeDocument/2006/relationships/hyperlink" Target="https://drive.google.com/file/d/0B9a5BtXYBva5RjZJZURMN0FqNWM/view?usp=sharing" TargetMode="External"/><Relationship Id="rId130" Type="http://schemas.openxmlformats.org/officeDocument/2006/relationships/hyperlink" Target="https://drive.google.com/file/d/0B9a5BtXYBva5TzNZX1cxWXpQRkU/view?usp=sharing" TargetMode="External"/><Relationship Id="rId251" Type="http://schemas.openxmlformats.org/officeDocument/2006/relationships/hyperlink" Target="https://drive.google.com/file/d/0B9a5BtXYBva5NW5keF9FN1U1djQ/view?usp=sharing" TargetMode="External"/><Relationship Id="rId372" Type="http://schemas.openxmlformats.org/officeDocument/2006/relationships/hyperlink" Target="https://drive.google.com/file/d/0B9a5BtXYBva5dXdJZnNSUlZ3MEk/view?usp=sharing" TargetMode="External"/><Relationship Id="rId493" Type="http://schemas.openxmlformats.org/officeDocument/2006/relationships/hyperlink" Target="https://drive.google.com/file/d/0B9a5BtXYBva5M3BEWkE2d2J5WmM/view?usp=sharing" TargetMode="External"/><Relationship Id="rId250" Type="http://schemas.openxmlformats.org/officeDocument/2006/relationships/hyperlink" Target="https://drive.google.com/file/d/0B9a5BtXYBva5TnRDTG5DRDBac1E/view?usp=sharing" TargetMode="External"/><Relationship Id="rId371" Type="http://schemas.openxmlformats.org/officeDocument/2006/relationships/hyperlink" Target="https://drive.google.com/file/d/0B9a5BtXYBva5VllqQ0RQbzlZSVE/view?usp=sharing" TargetMode="External"/><Relationship Id="rId492" Type="http://schemas.openxmlformats.org/officeDocument/2006/relationships/hyperlink" Target="https://drive.google.com/file/d/0B9a5BtXYBva5UEUzQllhZ0kwU1E/view?usp=sharing" TargetMode="External"/><Relationship Id="rId136" Type="http://schemas.openxmlformats.org/officeDocument/2006/relationships/hyperlink" Target="https://drive.google.com/file/d/0B9a5BtXYBva5OWJGbEFPU1d2Qnc/view?usp=sharing" TargetMode="External"/><Relationship Id="rId257" Type="http://schemas.openxmlformats.org/officeDocument/2006/relationships/hyperlink" Target="https://drive.google.com/file/d/0B9a5BtXYBva5TGsxcWZnTlFFWjQ/view?usp=sharing" TargetMode="External"/><Relationship Id="rId378" Type="http://schemas.openxmlformats.org/officeDocument/2006/relationships/hyperlink" Target="https://drive.google.com/file/d/0B9a5BtXYBva5b19EVExocnloOUE/view?usp=sharing" TargetMode="External"/><Relationship Id="rId499" Type="http://schemas.openxmlformats.org/officeDocument/2006/relationships/hyperlink" Target="https://drive.google.com/file/d/0B9a5BtXYBva5WFJmNzBDQ0szd2M/view?usp=sharing" TargetMode="External"/><Relationship Id="rId135" Type="http://schemas.openxmlformats.org/officeDocument/2006/relationships/hyperlink" Target="https://drive.google.com/file/d/0B9a5BtXYBva5eGp3Y3duSjNlcTg/view?usp=sharing" TargetMode="External"/><Relationship Id="rId256" Type="http://schemas.openxmlformats.org/officeDocument/2006/relationships/hyperlink" Target="https://drive.google.com/file/d/0B9a5BtXYBva5Yk94Tl9ka29QbE0/view?usp=sharing" TargetMode="External"/><Relationship Id="rId377" Type="http://schemas.openxmlformats.org/officeDocument/2006/relationships/hyperlink" Target="https://drive.google.com/file/d/0B9a5BtXYBva5NFpDUzNESkFFQmc/view?usp=sharing" TargetMode="External"/><Relationship Id="rId498" Type="http://schemas.openxmlformats.org/officeDocument/2006/relationships/hyperlink" Target="https://drive.google.com/file/d/0B9a5BtXYBva5TTZrWk1pSldzWjQ/view?usp=sharing" TargetMode="External"/><Relationship Id="rId134" Type="http://schemas.openxmlformats.org/officeDocument/2006/relationships/hyperlink" Target="https://drive.google.com/file/d/0B9a5BtXYBva5SUZwRUhWLVQwdmM/view?usp=sharing" TargetMode="External"/><Relationship Id="rId255" Type="http://schemas.openxmlformats.org/officeDocument/2006/relationships/hyperlink" Target="https://drive.google.com/file/d/0B9a5BtXYBva5emxQZUc5Q2pUd0U/view?usp=sharing" TargetMode="External"/><Relationship Id="rId376" Type="http://schemas.openxmlformats.org/officeDocument/2006/relationships/hyperlink" Target="https://drive.google.com/file/d/0B9a5BtXYBva5TzdpLUF5eUk4ZTA/view?usp=sharing" TargetMode="External"/><Relationship Id="rId497" Type="http://schemas.openxmlformats.org/officeDocument/2006/relationships/hyperlink" Target="https://drive.google.com/file/d/0B9a5BtXYBva5QzlvUGVjWmg5SkE/view?usp=sharing" TargetMode="External"/><Relationship Id="rId133" Type="http://schemas.openxmlformats.org/officeDocument/2006/relationships/hyperlink" Target="https://drive.google.com/file/d/0B9a5BtXYBva5LUJxdzdJRVIxZFE/view?usp=sharing" TargetMode="External"/><Relationship Id="rId254" Type="http://schemas.openxmlformats.org/officeDocument/2006/relationships/hyperlink" Target="https://drive.google.com/file/d/0B9a5BtXYBva5UnRSS2lSWUVRX2s/view?usp=sharing" TargetMode="External"/><Relationship Id="rId375" Type="http://schemas.openxmlformats.org/officeDocument/2006/relationships/hyperlink" Target="https://drive.google.com/file/d/0B9a5BtXYBva5NjlkTVVOb3g0cEk/view?usp=sharing" TargetMode="External"/><Relationship Id="rId496" Type="http://schemas.openxmlformats.org/officeDocument/2006/relationships/hyperlink" Target="https://drive.google.com/file/d/0B9a5BtXYBva5eXA1ZUgzeFp4OFE/view?usp=sharing" TargetMode="External"/><Relationship Id="rId172" Type="http://schemas.openxmlformats.org/officeDocument/2006/relationships/hyperlink" Target="https://drive.google.com/file/d/0B9a5BtXYBva5QWFwVkVvVWpWb28/view?usp=sharing" TargetMode="External"/><Relationship Id="rId293" Type="http://schemas.openxmlformats.org/officeDocument/2006/relationships/hyperlink" Target="https://drive.google.com/file/d/0B9a5BtXYBva5UHFQcVFMUHBNbUk/view?usp=sharing" TargetMode="External"/><Relationship Id="rId171" Type="http://schemas.openxmlformats.org/officeDocument/2006/relationships/hyperlink" Target="https://drive.google.com/file/d/0B9a5BtXYBva5WjZlck9mUjdwQjg/view?usp=sharing" TargetMode="External"/><Relationship Id="rId292" Type="http://schemas.openxmlformats.org/officeDocument/2006/relationships/hyperlink" Target="https://drive.google.com/file/d/0B9a5BtXYBva5UlFyaUZoeFgtRDQ/view?usp=sharing" TargetMode="External"/><Relationship Id="rId170" Type="http://schemas.openxmlformats.org/officeDocument/2006/relationships/hyperlink" Target="https://drive.google.com/file/d/0B9a5BtXYBva5WlhlVnRLZlU0N3c/view?usp=sharing" TargetMode="External"/><Relationship Id="rId291" Type="http://schemas.openxmlformats.org/officeDocument/2006/relationships/hyperlink" Target="https://drive.google.com/file/d/0B9a5BtXYBva5WkFYTXJsbDlZQVk/view?usp=sharing" TargetMode="External"/><Relationship Id="rId290" Type="http://schemas.openxmlformats.org/officeDocument/2006/relationships/hyperlink" Target="https://drive.google.com/file/d/0B9a5BtXYBva5S3JOU19mX3VhVmc/view?usp=sharing" TargetMode="External"/><Relationship Id="rId165" Type="http://schemas.openxmlformats.org/officeDocument/2006/relationships/hyperlink" Target="https://drive.google.com/file/d/0B9a5BtXYBva5U1pLZWpnMTRWYkE/view?usp=sharing" TargetMode="External"/><Relationship Id="rId286" Type="http://schemas.openxmlformats.org/officeDocument/2006/relationships/hyperlink" Target="https://drive.google.com/file/d/0B9a5BtXYBva5SkNSc1JaekRQWGc/view?usp=sharing" TargetMode="External"/><Relationship Id="rId164" Type="http://schemas.openxmlformats.org/officeDocument/2006/relationships/hyperlink" Target="https://drive.google.com/file/d/0B9a5BtXYBva5YlZlYjl6cDNndjQ/view?usp=sharing" TargetMode="External"/><Relationship Id="rId285" Type="http://schemas.openxmlformats.org/officeDocument/2006/relationships/hyperlink" Target="https://drive.google.com/file/d/0B9a5BtXYBva5SVhaM0VNMVJZc2M/view?usp=sharing" TargetMode="External"/><Relationship Id="rId163" Type="http://schemas.openxmlformats.org/officeDocument/2006/relationships/hyperlink" Target="https://drive.google.com/file/d/0B9a5BtXYBva5bzZtb09KWDhhdHM/view?usp=sharing" TargetMode="External"/><Relationship Id="rId284" Type="http://schemas.openxmlformats.org/officeDocument/2006/relationships/hyperlink" Target="https://drive.google.com/file/d/0B9a5BtXYBva5Z0xpSVlPUkt3V0k/view?usp=sharing" TargetMode="External"/><Relationship Id="rId162" Type="http://schemas.openxmlformats.org/officeDocument/2006/relationships/hyperlink" Target="https://drive.google.com/file/d/0B9a5BtXYBva5dEFfLW9ybm94M2c/view?usp=sharing" TargetMode="External"/><Relationship Id="rId283" Type="http://schemas.openxmlformats.org/officeDocument/2006/relationships/hyperlink" Target="https://drive.google.com/file/d/0B9a5BtXYBva5QVB6V2UwR1hfMWc/view?usp=sharing" TargetMode="External"/><Relationship Id="rId169" Type="http://schemas.openxmlformats.org/officeDocument/2006/relationships/hyperlink" Target="https://drive.google.com/file/d/0B9a5BtXYBva5WGdfZ054QUVZNXM/view?usp=sharing" TargetMode="External"/><Relationship Id="rId168" Type="http://schemas.openxmlformats.org/officeDocument/2006/relationships/hyperlink" Target="https://drive.google.com/file/d/0B9a5BtXYBva5OUFGTmFwZk1vdnM/view?usp=sharing" TargetMode="External"/><Relationship Id="rId289" Type="http://schemas.openxmlformats.org/officeDocument/2006/relationships/hyperlink" Target="https://drive.google.com/file/d/0B9a5BtXYBva5MXJOVW85cTB4SkU/view?usp=sharing" TargetMode="External"/><Relationship Id="rId167" Type="http://schemas.openxmlformats.org/officeDocument/2006/relationships/hyperlink" Target="https://drive.google.com/file/d/0B9a5BtXYBva5NmFQa3JfaFltZWM/view?usp=sharing" TargetMode="External"/><Relationship Id="rId288" Type="http://schemas.openxmlformats.org/officeDocument/2006/relationships/hyperlink" Target="https://drive.google.com/file/d/0B9a5BtXYBva5eWp0OEJzMlRIMzA/view?usp=sharing" TargetMode="External"/><Relationship Id="rId166" Type="http://schemas.openxmlformats.org/officeDocument/2006/relationships/hyperlink" Target="https://drive.google.com/file/d/0B9a5BtXYBva5YzBjX1VETjBZR2s/view?usp=sharing" TargetMode="External"/><Relationship Id="rId287" Type="http://schemas.openxmlformats.org/officeDocument/2006/relationships/hyperlink" Target="https://drive.google.com/file/d/0B9a5BtXYBva5cWNkdGtCMXAyMTA/view?usp=sharing" TargetMode="External"/><Relationship Id="rId161" Type="http://schemas.openxmlformats.org/officeDocument/2006/relationships/hyperlink" Target="https://drive.google.com/file/d/0B9a5BtXYBva5NHR2Y25Da1JwUUk/view?usp=sharing" TargetMode="External"/><Relationship Id="rId282" Type="http://schemas.openxmlformats.org/officeDocument/2006/relationships/hyperlink" Target="https://drive.google.com/file/d/0B9a5BtXYBva5RmZaUE1qbUowblk/view?usp=sharing" TargetMode="External"/><Relationship Id="rId160" Type="http://schemas.openxmlformats.org/officeDocument/2006/relationships/hyperlink" Target="https://drive.google.com/file/d/0B9a5BtXYBva5SkY5eTJrQ0dYelU/view?usp=sharing" TargetMode="External"/><Relationship Id="rId281" Type="http://schemas.openxmlformats.org/officeDocument/2006/relationships/hyperlink" Target="https://drive.google.com/file/d/0B9a5BtXYBva5UDhIeFRnQm43ajA/view?usp=sharing" TargetMode="External"/><Relationship Id="rId280" Type="http://schemas.openxmlformats.org/officeDocument/2006/relationships/hyperlink" Target="https://drive.google.com/file/d/0B9a5BtXYBva5SC1DZldXSGdjMjA/view?usp=sharing" TargetMode="External"/><Relationship Id="rId159" Type="http://schemas.openxmlformats.org/officeDocument/2006/relationships/hyperlink" Target="https://drive.google.com/file/d/0B9a5BtXYBva5VGtvLWpaRWhuZmc/view?usp=sharing" TargetMode="External"/><Relationship Id="rId154" Type="http://schemas.openxmlformats.org/officeDocument/2006/relationships/hyperlink" Target="https://drive.google.com/file/d/0B9a5BtXYBva5eFRhRktsZ0pKeFk/view?usp=sharing" TargetMode="External"/><Relationship Id="rId275" Type="http://schemas.openxmlformats.org/officeDocument/2006/relationships/hyperlink" Target="https://drive.google.com/file/d/0B9a5BtXYBva5VWpuNGlFdkFFT2c/view?usp=sharing" TargetMode="External"/><Relationship Id="rId396" Type="http://schemas.openxmlformats.org/officeDocument/2006/relationships/hyperlink" Target="https://drive.google.com/file/d/0B9a5BtXYBva5RnJHX2xrRlVyX0U/view?usp=sharing" TargetMode="External"/><Relationship Id="rId153" Type="http://schemas.openxmlformats.org/officeDocument/2006/relationships/hyperlink" Target="https://drive.google.com/file/d/0B9a5BtXYBva5Vnp3ZG8wNy1OQTQ/view?usp=sharing" TargetMode="External"/><Relationship Id="rId274" Type="http://schemas.openxmlformats.org/officeDocument/2006/relationships/hyperlink" Target="https://drive.google.com/file/d/0B9a5BtXYBva5ZXA2elA5cWVVV1U/view?usp=sharing" TargetMode="External"/><Relationship Id="rId395" Type="http://schemas.openxmlformats.org/officeDocument/2006/relationships/hyperlink" Target="https://drive.google.com/file/d/0B9a5BtXYBva5a0VlTnZ2NnRaQmc/view?usp=sharing" TargetMode="External"/><Relationship Id="rId152" Type="http://schemas.openxmlformats.org/officeDocument/2006/relationships/hyperlink" Target="https://drive.google.com/file/d/0B9a5BtXYBva5ZjZlVHpKSGw3OEE/view?usp=sharing" TargetMode="External"/><Relationship Id="rId273" Type="http://schemas.openxmlformats.org/officeDocument/2006/relationships/hyperlink" Target="https://drive.google.com/file/d/0B9a5BtXYBva5b3dmck13MVlDWUk/view?usp=sharing" TargetMode="External"/><Relationship Id="rId394" Type="http://schemas.openxmlformats.org/officeDocument/2006/relationships/hyperlink" Target="https://drive.google.com/file/d/0B9a5BtXYBva5OUFyX1JPNWtBdUU/view?usp=sharing" TargetMode="External"/><Relationship Id="rId151" Type="http://schemas.openxmlformats.org/officeDocument/2006/relationships/hyperlink" Target="https://drive.google.com/file/d/0B9a5BtXYBva5Y1BGc1ozREQ3dlk/view?usp=sharing" TargetMode="External"/><Relationship Id="rId272" Type="http://schemas.openxmlformats.org/officeDocument/2006/relationships/hyperlink" Target="https://drive.google.com/file/d/0B9a5BtXYBva5TFN1YTdEeDNKMk0/view?usp=sharing" TargetMode="External"/><Relationship Id="rId393" Type="http://schemas.openxmlformats.org/officeDocument/2006/relationships/hyperlink" Target="https://drive.google.com/file/d/0B9a5BtXYBva5SG9YaFJQem9ZeWM/view?usp=sharing" TargetMode="External"/><Relationship Id="rId158" Type="http://schemas.openxmlformats.org/officeDocument/2006/relationships/hyperlink" Target="https://drive.google.com/file/d/0B9a5BtXYBva5YW1QTUtLQzEydnc/view?usp=sharing" TargetMode="External"/><Relationship Id="rId279" Type="http://schemas.openxmlformats.org/officeDocument/2006/relationships/hyperlink" Target="https://drive.google.com/file/d/0B9a5BtXYBva5TVZ5Yk1IOWw4dVU/view?usp=sharing" TargetMode="External"/><Relationship Id="rId157" Type="http://schemas.openxmlformats.org/officeDocument/2006/relationships/hyperlink" Target="https://drive.google.com/file/d/0B9a5BtXYBva5aFdZOS1rS1V5UDg/view?usp=sharing" TargetMode="External"/><Relationship Id="rId278" Type="http://schemas.openxmlformats.org/officeDocument/2006/relationships/hyperlink" Target="https://drive.google.com/file/d/0B9a5BtXYBva5NXpMeS04eDZXMEk/view?usp=sharing" TargetMode="External"/><Relationship Id="rId399" Type="http://schemas.openxmlformats.org/officeDocument/2006/relationships/hyperlink" Target="https://drive.google.com/file/d/0B9a5BtXYBva5OXlrTVk0Z1hqVE0/view?usp=sharing" TargetMode="External"/><Relationship Id="rId156" Type="http://schemas.openxmlformats.org/officeDocument/2006/relationships/hyperlink" Target="https://drive.google.com/file/d/0B9a5BtXYBva5MUREekN4dVpyeEU/view?usp=sharing" TargetMode="External"/><Relationship Id="rId277" Type="http://schemas.openxmlformats.org/officeDocument/2006/relationships/hyperlink" Target="https://drive.google.com/file/d/0B9a5BtXYBva5LTV1azNFVEJFV0E/view?usp=sharing" TargetMode="External"/><Relationship Id="rId398" Type="http://schemas.openxmlformats.org/officeDocument/2006/relationships/hyperlink" Target="https://drive.google.com/file/d/0B9a5BtXYBva5Nmx0QUcyLUVaV0U/view?usp=sharing" TargetMode="External"/><Relationship Id="rId155" Type="http://schemas.openxmlformats.org/officeDocument/2006/relationships/hyperlink" Target="https://drive.google.com/file/d/0B9a5BtXYBva5M19TYi1sZHVwQkU/view?usp=sharing" TargetMode="External"/><Relationship Id="rId276" Type="http://schemas.openxmlformats.org/officeDocument/2006/relationships/hyperlink" Target="https://drive.google.com/file/d/0B9a5BtXYBva5dDVnUG90eWtvUk0/view?usp=sharing" TargetMode="External"/><Relationship Id="rId397" Type="http://schemas.openxmlformats.org/officeDocument/2006/relationships/hyperlink" Target="https://drive.google.com/file/d/0B9a5BtXYBva5azZTU2I1NnM3U3M/view?usp=sharing" TargetMode="External"/><Relationship Id="rId40" Type="http://schemas.openxmlformats.org/officeDocument/2006/relationships/hyperlink" Target="https://drive.google.com/file/d/0B9a5BtXYBva5VGkwbnFCLUtUOGc/view?usp=sharing" TargetMode="External"/><Relationship Id="rId42" Type="http://schemas.openxmlformats.org/officeDocument/2006/relationships/hyperlink" Target="https://drive.google.com/file/d/0B9a5BtXYBva5ZmlENzNDaF9oaTA/view?usp=sharing" TargetMode="External"/><Relationship Id="rId41" Type="http://schemas.openxmlformats.org/officeDocument/2006/relationships/hyperlink" Target="https://drive.google.com/file/d/0B9a5BtXYBva5dXlXeDVfcFJqb28/view?usp=sharing" TargetMode="External"/><Relationship Id="rId44" Type="http://schemas.openxmlformats.org/officeDocument/2006/relationships/hyperlink" Target="https://drive.google.com/file/d/0B9a5BtXYBva5Ulh2S3JYMlBmUUU/view?usp=sharing" TargetMode="External"/><Relationship Id="rId43" Type="http://schemas.openxmlformats.org/officeDocument/2006/relationships/hyperlink" Target="https://drive.google.com/file/d/0B9a5BtXYBva5aXMtem8tT2dfQkE/view?usp=sharing" TargetMode="External"/><Relationship Id="rId46" Type="http://schemas.openxmlformats.org/officeDocument/2006/relationships/hyperlink" Target="https://drive.google.com/file/d/0B9a5BtXYBva5MklTVmRDTGJsWTA/view?usp=sharing" TargetMode="External"/><Relationship Id="rId45" Type="http://schemas.openxmlformats.org/officeDocument/2006/relationships/hyperlink" Target="https://drive.google.com/file/d/0B9a5BtXYBva5MG9nT3RJZFZrRzQ/view?usp=sharing" TargetMode="External"/><Relationship Id="rId509" Type="http://schemas.openxmlformats.org/officeDocument/2006/relationships/hyperlink" Target="https://drive.google.com/file/d/0B9a5BtXYBva5TjREblJjMExpMnc/view?usp=sharing" TargetMode="External"/><Relationship Id="rId508" Type="http://schemas.openxmlformats.org/officeDocument/2006/relationships/hyperlink" Target="https://drive.google.com/file/d/0B9a5BtXYBva5SHRqbC1lYWRXdUk/view?usp=sharing" TargetMode="External"/><Relationship Id="rId629" Type="http://schemas.openxmlformats.org/officeDocument/2006/relationships/hyperlink" Target="https://drive.google.com/file/d/1F6ylMdx4-YaK1SrotOfkxe5UaBGIDYf0/view?usp=sharing" TargetMode="External"/><Relationship Id="rId503" Type="http://schemas.openxmlformats.org/officeDocument/2006/relationships/hyperlink" Target="https://drive.google.com/file/d/0B9a5BtXYBva5Tkc1NzBlNVZ3WGc/view?usp=sharing" TargetMode="External"/><Relationship Id="rId624" Type="http://schemas.openxmlformats.org/officeDocument/2006/relationships/hyperlink" Target="https://drive.google.com/file/d/113-7nxb8m7T4Wytqb0lXAy9Xn0bf0ETn/view?usp=sharing" TargetMode="External"/><Relationship Id="rId502" Type="http://schemas.openxmlformats.org/officeDocument/2006/relationships/hyperlink" Target="https://drive.google.com/file/d/0B9a5BtXYBva5RTBVXzVjN2Ixd2s/view?usp=sharing" TargetMode="External"/><Relationship Id="rId623" Type="http://schemas.openxmlformats.org/officeDocument/2006/relationships/hyperlink" Target="https://drive.google.com/file/d/12j5LpNgUAm90ga9Aq4yDlaxxeH0xHgf3/view?usp=sharing" TargetMode="External"/><Relationship Id="rId501" Type="http://schemas.openxmlformats.org/officeDocument/2006/relationships/hyperlink" Target="https://drive.google.com/file/d/0B9a5BtXYBva5a3ptS3daNHNoY0k/view?usp=sharing" TargetMode="External"/><Relationship Id="rId622" Type="http://schemas.openxmlformats.org/officeDocument/2006/relationships/hyperlink" Target="https://drive.google.com/file/d/1f0weU4NiIMXlUuR_m0JXjx2BpI8gEmYM/view?usp=sharing" TargetMode="External"/><Relationship Id="rId500" Type="http://schemas.openxmlformats.org/officeDocument/2006/relationships/hyperlink" Target="https://drive.google.com/file/d/0B9a5BtXYBva5em1ORG1rbG5oQ00/view?usp=sharing" TargetMode="External"/><Relationship Id="rId621" Type="http://schemas.openxmlformats.org/officeDocument/2006/relationships/hyperlink" Target="https://drive.google.com/file/d/1qjBFAIdv2qCfR_FH8iy54l_PdgwDGlzx/view?usp=sharing" TargetMode="External"/><Relationship Id="rId507" Type="http://schemas.openxmlformats.org/officeDocument/2006/relationships/hyperlink" Target="https://drive.google.com/file/d/0B9a5BtXYBva5M2xZbFF0ejc2M1U/view?usp=sharing" TargetMode="External"/><Relationship Id="rId628" Type="http://schemas.openxmlformats.org/officeDocument/2006/relationships/hyperlink" Target="https://drive.google.com/file/d/16BSQO84ApLk6Vg2R_hn9HoCXMdxT0Hjx/view?usp=sharing" TargetMode="External"/><Relationship Id="rId506" Type="http://schemas.openxmlformats.org/officeDocument/2006/relationships/hyperlink" Target="https://drive.google.com/file/d/0B9a5BtXYBva5cngwSDFpX1dsRVk/view?usp=sharing" TargetMode="External"/><Relationship Id="rId627" Type="http://schemas.openxmlformats.org/officeDocument/2006/relationships/hyperlink" Target="https://drive.google.com/file/d/19yOFrDHCimE-68MYGf3KDFTtCDzlhqGr/view?usp=sharing" TargetMode="External"/><Relationship Id="rId505" Type="http://schemas.openxmlformats.org/officeDocument/2006/relationships/hyperlink" Target="https://drive.google.com/file/d/0B9a5BtXYBva5VXl4dHNCZDdJajA/view?usp=sharing" TargetMode="External"/><Relationship Id="rId626" Type="http://schemas.openxmlformats.org/officeDocument/2006/relationships/hyperlink" Target="https://drive.google.com/file/d/1KW3I_OQITnumOUD-8-E9Cwo1ilaIopQs/view?usp=sharing" TargetMode="External"/><Relationship Id="rId504" Type="http://schemas.openxmlformats.org/officeDocument/2006/relationships/hyperlink" Target="https://drive.google.com/file/d/0B9a5BtXYBva5dUl0UHdtUFN5cnc/view?usp=sharing" TargetMode="External"/><Relationship Id="rId625" Type="http://schemas.openxmlformats.org/officeDocument/2006/relationships/hyperlink" Target="https://drive.google.com/file/d/1_Sdcuci9eOCRg0O_ct9l-8RZbILJaUQB/view?usp=sharing" TargetMode="External"/><Relationship Id="rId48" Type="http://schemas.openxmlformats.org/officeDocument/2006/relationships/hyperlink" Target="https://drive.google.com/file/d/0B9a5BtXYBva5dHJISVMwd2ZSWkk/view?usp=sharing" TargetMode="External"/><Relationship Id="rId47" Type="http://schemas.openxmlformats.org/officeDocument/2006/relationships/hyperlink" Target="https://drive.google.com/file/d/0B9a5BtXYBva5OTl6ZVRtaEZodTA/view?usp=sharing" TargetMode="External"/><Relationship Id="rId49" Type="http://schemas.openxmlformats.org/officeDocument/2006/relationships/hyperlink" Target="https://drive.google.com/file/d/0B9a5BtXYBva5OHYycWgwUjA2SDQ/view?usp=sharing" TargetMode="External"/><Relationship Id="rId620" Type="http://schemas.openxmlformats.org/officeDocument/2006/relationships/hyperlink" Target="https://drive.google.com/file/d/1MTEg7vKV8elrC98ID_r3bKkOd7Znyre1/view?usp=sharing" TargetMode="External"/><Relationship Id="rId31" Type="http://schemas.openxmlformats.org/officeDocument/2006/relationships/hyperlink" Target="https://drive.google.com/file/d/0B9a5BtXYBva5ckpIZE96Wk9aQWs/view?usp=sharing" TargetMode="External"/><Relationship Id="rId30" Type="http://schemas.openxmlformats.org/officeDocument/2006/relationships/hyperlink" Target="https://drive.google.com/file/d/0B9a5BtXYBva5V1BpUUtmUkFDbkk/view?usp=sharing" TargetMode="External"/><Relationship Id="rId33" Type="http://schemas.openxmlformats.org/officeDocument/2006/relationships/hyperlink" Target="https://drive.google.com/file/d/0B9a5BtXYBva5OXIzSjczRm4yLTA/view?usp=sharing" TargetMode="External"/><Relationship Id="rId32" Type="http://schemas.openxmlformats.org/officeDocument/2006/relationships/hyperlink" Target="https://drive.google.com/file/d/0B9a5BtXYBva5YTVOQVA4S1hjN3M/view?usp=sharing" TargetMode="External"/><Relationship Id="rId35" Type="http://schemas.openxmlformats.org/officeDocument/2006/relationships/hyperlink" Target="https://drive.google.com/file/d/0B9a5BtXYBva5RDRnSWVXZXdBRHM/view?usp=sharing" TargetMode="External"/><Relationship Id="rId34" Type="http://schemas.openxmlformats.org/officeDocument/2006/relationships/hyperlink" Target="https://drive.google.com/file/d/0B9a5BtXYBva5UWFYSHkzNHZ3TDA/view?usp=sharing" TargetMode="External"/><Relationship Id="rId619" Type="http://schemas.openxmlformats.org/officeDocument/2006/relationships/hyperlink" Target="https://drive.google.com/file/d/1oPd4yVb_UrDFBXpJzFBAoVm5rsnstBtC/view?usp=sharing" TargetMode="External"/><Relationship Id="rId618" Type="http://schemas.openxmlformats.org/officeDocument/2006/relationships/hyperlink" Target="https://drive.google.com/file/d/1PpvQId8MSnY6T4xu826iWD3vnjdXVt-v/view?usp=sharing" TargetMode="External"/><Relationship Id="rId613" Type="http://schemas.openxmlformats.org/officeDocument/2006/relationships/hyperlink" Target="https://drive.google.com/a/uesc.br/file/d/0B9a5BtXYBva5ZGNCVFU5Q3hYVDg/view?usp=sharing" TargetMode="External"/><Relationship Id="rId612" Type="http://schemas.openxmlformats.org/officeDocument/2006/relationships/hyperlink" Target="https://drive.google.com/a/uesc.br/file/d/0B9a5BtXYBva5eG5NeHl4Zkl4SEU/view?usp=sharing" TargetMode="External"/><Relationship Id="rId611" Type="http://schemas.openxmlformats.org/officeDocument/2006/relationships/hyperlink" Target="https://drive.google.com/a/uesc.br/file/d/0B9a5BtXYBva5VmdSdWVqU1VtOGc/view?usp=sharing" TargetMode="External"/><Relationship Id="rId610" Type="http://schemas.openxmlformats.org/officeDocument/2006/relationships/hyperlink" Target="https://drive.google.com/a/uesc.br/file/d/0B9a5BtXYBva5UTlSc1dOZEVlbkk/view?usp=sharing" TargetMode="External"/><Relationship Id="rId617" Type="http://schemas.openxmlformats.org/officeDocument/2006/relationships/hyperlink" Target="https://drive.google.com/file/d/1C7yn4TilcfOJsgpRoEqyEgjH4E30Gsco/view?usp=sharing" TargetMode="External"/><Relationship Id="rId616" Type="http://schemas.openxmlformats.org/officeDocument/2006/relationships/hyperlink" Target="https://drive.google.com/file/d/1ptM2M-6HALEDiMhNNECd8PzIzHy9rADl/view?usp=sharing" TargetMode="External"/><Relationship Id="rId615" Type="http://schemas.openxmlformats.org/officeDocument/2006/relationships/hyperlink" Target="https://drive.google.com/file/d/1pENLrJYnee0_Et8GOLEAyOWT5TDXMHec/view?usp=sharing" TargetMode="External"/><Relationship Id="rId614" Type="http://schemas.openxmlformats.org/officeDocument/2006/relationships/hyperlink" Target="https://drive.google.com/a/uesc.br/file/d/0B9a5BtXYBva5d29XNUx2YS1ra3M/view?usp=sharing" TargetMode="External"/><Relationship Id="rId37" Type="http://schemas.openxmlformats.org/officeDocument/2006/relationships/hyperlink" Target="https://drive.google.com/file/d/0B9a5BtXYBva5ejZMLWNMWHV6UHM/view?usp=sharing" TargetMode="External"/><Relationship Id="rId36" Type="http://schemas.openxmlformats.org/officeDocument/2006/relationships/hyperlink" Target="https://drive.google.com/file/d/0B9a5BtXYBva5dzc4S2E2bXdmVkU/view?usp=sharing" TargetMode="External"/><Relationship Id="rId39" Type="http://schemas.openxmlformats.org/officeDocument/2006/relationships/hyperlink" Target="https://drive.google.com/file/d/0B9a5BtXYBva5WEdpVmljNkZsMGc/view?usp=sharing" TargetMode="External"/><Relationship Id="rId38" Type="http://schemas.openxmlformats.org/officeDocument/2006/relationships/hyperlink" Target="https://drive.google.com/file/d/0B9a5BtXYBva5RkNiQl9nZERQdlU/view?usp=sharing" TargetMode="External"/><Relationship Id="rId20" Type="http://schemas.openxmlformats.org/officeDocument/2006/relationships/hyperlink" Target="https://drive.google.com/file/d/0B9a5BtXYBva5REhCUnhBcEUzY2s/view?usp=sharing" TargetMode="External"/><Relationship Id="rId22" Type="http://schemas.openxmlformats.org/officeDocument/2006/relationships/hyperlink" Target="https://drive.google.com/file/d/0B9a5BtXYBva5MC1nWm50X1BOZkE/view?usp=sharing" TargetMode="External"/><Relationship Id="rId21" Type="http://schemas.openxmlformats.org/officeDocument/2006/relationships/hyperlink" Target="https://drive.google.com/file/d/0B9a5BtXYBva5NVpTVk5pdHBsY1E/view?usp=sharing" TargetMode="External"/><Relationship Id="rId24" Type="http://schemas.openxmlformats.org/officeDocument/2006/relationships/hyperlink" Target="https://drive.google.com/file/d/0B9a5BtXYBva5WHlHdl9zU1BxMlk/view?usp=sharing" TargetMode="External"/><Relationship Id="rId23" Type="http://schemas.openxmlformats.org/officeDocument/2006/relationships/hyperlink" Target="https://drive.google.com/file/d/0B9a5BtXYBva5T0Fzakd2NDBkUlk/view?usp=sharing" TargetMode="External"/><Relationship Id="rId409" Type="http://schemas.openxmlformats.org/officeDocument/2006/relationships/hyperlink" Target="https://drive.google.com/file/d/0B9a5BtXYBva5VmdtTG85UFExb28/view?usp=sharing" TargetMode="External"/><Relationship Id="rId404" Type="http://schemas.openxmlformats.org/officeDocument/2006/relationships/hyperlink" Target="https://drive.google.com/file/d/0B9a5BtXYBva5cEo3RlFaQ3dCLWc/view?usp=sharing" TargetMode="External"/><Relationship Id="rId525" Type="http://schemas.openxmlformats.org/officeDocument/2006/relationships/hyperlink" Target="https://drive.google.com/file/d/0B9a5BtXYBva5bEdpWTFtQ0F2VTQ/view?usp=sharing" TargetMode="External"/><Relationship Id="rId646" Type="http://schemas.openxmlformats.org/officeDocument/2006/relationships/hyperlink" Target="https://drive.google.com/file/d/1Ef20KNo1r0lO4ZwsTY2mhF2yj35Y2YPo/view?usp=sharing" TargetMode="External"/><Relationship Id="rId403" Type="http://schemas.openxmlformats.org/officeDocument/2006/relationships/hyperlink" Target="https://drive.google.com/file/d/0B9a5BtXYBva5WV9yd1I0SjJrM2s/view?usp=sharing" TargetMode="External"/><Relationship Id="rId524" Type="http://schemas.openxmlformats.org/officeDocument/2006/relationships/hyperlink" Target="https://drive.google.com/file/d/0B9a5BtXYBva5blhtYkRIeTBVbG8/view?usp=sharing" TargetMode="External"/><Relationship Id="rId645" Type="http://schemas.openxmlformats.org/officeDocument/2006/relationships/hyperlink" Target="https://drive.google.com/file/d/1ZgrRzZlb-m_jgkL1baxM_-DqFBLlwjMR/view?usp=sharing" TargetMode="External"/><Relationship Id="rId402" Type="http://schemas.openxmlformats.org/officeDocument/2006/relationships/hyperlink" Target="https://drive.google.com/file/d/0B9a5BtXYBva5UV9DMk9QczZmcjA/view?usp=sharing" TargetMode="External"/><Relationship Id="rId523" Type="http://schemas.openxmlformats.org/officeDocument/2006/relationships/hyperlink" Target="https://drive.google.com/file/d/0B9a5BtXYBva5QlFMOGtZdzJiQms/view?usp=sharing" TargetMode="External"/><Relationship Id="rId644" Type="http://schemas.openxmlformats.org/officeDocument/2006/relationships/hyperlink" Target="https://drive.google.com/file/d/102_ZhuIXFasZMXXuN59asF0le_UQTB56/view?usp=sharing" TargetMode="External"/><Relationship Id="rId401" Type="http://schemas.openxmlformats.org/officeDocument/2006/relationships/hyperlink" Target="https://drive.google.com/file/d/0B9a5BtXYBva5UmtoWFJEc0Y4QVk/view?usp=sharing" TargetMode="External"/><Relationship Id="rId522" Type="http://schemas.openxmlformats.org/officeDocument/2006/relationships/hyperlink" Target="https://drive.google.com/file/d/0B9a5BtXYBva5ZXlGY0xmeHdnLUk/view?usp=sharing" TargetMode="External"/><Relationship Id="rId643" Type="http://schemas.openxmlformats.org/officeDocument/2006/relationships/hyperlink" Target="https://drive.google.com/file/d/1pzwxggoMGnZ2n_FKnARt0zZvZ-mgkgtG/view?usp=sharing" TargetMode="External"/><Relationship Id="rId408" Type="http://schemas.openxmlformats.org/officeDocument/2006/relationships/hyperlink" Target="https://drive.google.com/file/d/0B9a5BtXYBva5UWhKQXFxMm9VMFk/view?usp=sharing" TargetMode="External"/><Relationship Id="rId529" Type="http://schemas.openxmlformats.org/officeDocument/2006/relationships/hyperlink" Target="https://drive.google.com/file/d/0B9a5BtXYBva5bnBqNWlpc05GcHM/view?usp=sharing" TargetMode="External"/><Relationship Id="rId407" Type="http://schemas.openxmlformats.org/officeDocument/2006/relationships/hyperlink" Target="https://drive.google.com/file/d/0B9a5BtXYBva5TzJzbXRyQTgyS0E/view?usp=sharing" TargetMode="External"/><Relationship Id="rId528" Type="http://schemas.openxmlformats.org/officeDocument/2006/relationships/hyperlink" Target="https://drive.google.com/file/d/0B9a5BtXYBva5U3NQOWlJS08xYUU/view?usp=sharing" TargetMode="External"/><Relationship Id="rId649" Type="http://schemas.openxmlformats.org/officeDocument/2006/relationships/hyperlink" Target="https://drive.google.com/file/d/10UEDNARWypZooKSRHw395z-BmtrPOTZh/view?usp=sharing" TargetMode="External"/><Relationship Id="rId406" Type="http://schemas.openxmlformats.org/officeDocument/2006/relationships/hyperlink" Target="https://drive.google.com/file/d/0B9a5BtXYBva5RUF0bkNjQS03T2M/view?usp=sharing" TargetMode="External"/><Relationship Id="rId527" Type="http://schemas.openxmlformats.org/officeDocument/2006/relationships/hyperlink" Target="https://drive.google.com/file/d/0B9a5BtXYBva5TDNzQzZpVDdONms/view?usp=sharing" TargetMode="External"/><Relationship Id="rId648" Type="http://schemas.openxmlformats.org/officeDocument/2006/relationships/hyperlink" Target="https://drive.google.com/file/d/1ic38hX57Sk3A5k2Ti-HH6KPgGAd3NIMP/view?usp=sharing" TargetMode="External"/><Relationship Id="rId405" Type="http://schemas.openxmlformats.org/officeDocument/2006/relationships/hyperlink" Target="https://drive.google.com/file/d/0B9a5BtXYBva5THhWVnFoOS1SeUk/view?usp=sharing" TargetMode="External"/><Relationship Id="rId526" Type="http://schemas.openxmlformats.org/officeDocument/2006/relationships/hyperlink" Target="https://drive.google.com/file/d/0B9a5BtXYBva5TE1UU2RDOWFjWWc/view?usp=sharing" TargetMode="External"/><Relationship Id="rId647" Type="http://schemas.openxmlformats.org/officeDocument/2006/relationships/hyperlink" Target="https://drive.google.com/file/d/1sUFegXmHHax1Up1aZ5SbCxOmUVqsMQLY/view?usp=sharing" TargetMode="External"/><Relationship Id="rId26" Type="http://schemas.openxmlformats.org/officeDocument/2006/relationships/hyperlink" Target="https://drive.google.com/file/d/0B9a5BtXYBva5U2lONWtIVFpHTUE/view?usp=sharing" TargetMode="External"/><Relationship Id="rId25" Type="http://schemas.openxmlformats.org/officeDocument/2006/relationships/hyperlink" Target="https://drive.google.com/file/d/0B9a5BtXYBva5eDhUTVRjX3gyVGc/view?usp=sharing" TargetMode="External"/><Relationship Id="rId28" Type="http://schemas.openxmlformats.org/officeDocument/2006/relationships/hyperlink" Target="https://drive.google.com/file/d/0B9a5BtXYBva5TDJnUDNQdDUteTQ/view?usp=sharing" TargetMode="External"/><Relationship Id="rId27" Type="http://schemas.openxmlformats.org/officeDocument/2006/relationships/hyperlink" Target="https://drive.google.com/file/d/0B9a5BtXYBva5OTEzT3hEOUhJT3M/view?usp=sharing" TargetMode="External"/><Relationship Id="rId400" Type="http://schemas.openxmlformats.org/officeDocument/2006/relationships/hyperlink" Target="https://drive.google.com/file/d/0B9a5BtXYBva5cnhtVXJjemRIZWc/view?usp=sharing" TargetMode="External"/><Relationship Id="rId521" Type="http://schemas.openxmlformats.org/officeDocument/2006/relationships/hyperlink" Target="https://drive.google.com/file/d/0B9a5BtXYBva5N3RzWFRuWnU0ejQ/view?usp=sharing" TargetMode="External"/><Relationship Id="rId642" Type="http://schemas.openxmlformats.org/officeDocument/2006/relationships/hyperlink" Target="https://drive.google.com/file/d/1e85jYUnADZZctfPnDdg3EQkVJbP0y5qK/view?usp=sharing" TargetMode="External"/><Relationship Id="rId29" Type="http://schemas.openxmlformats.org/officeDocument/2006/relationships/hyperlink" Target="https://drive.google.com/file/d/0B9a5BtXYBva5Qkc3bjlzU0JBUGc/view?usp=sharing" TargetMode="External"/><Relationship Id="rId520" Type="http://schemas.openxmlformats.org/officeDocument/2006/relationships/hyperlink" Target="https://drive.google.com/file/d/0B9a5BtXYBva5QUJaUGFlOG9lc2c/view?usp=sharing" TargetMode="External"/><Relationship Id="rId641" Type="http://schemas.openxmlformats.org/officeDocument/2006/relationships/hyperlink" Target="https://drive.google.com/file/d/14aYW0c_RHTvejNPcD3eNbh-qpSWbPbCw/view?usp=sharing" TargetMode="External"/><Relationship Id="rId640" Type="http://schemas.openxmlformats.org/officeDocument/2006/relationships/hyperlink" Target="https://drive.google.com/file/d/13oQRqd1Pw9gBlE_Yi6T5WoFWu_F6w2CP/view?usp=sharing" TargetMode="External"/><Relationship Id="rId11" Type="http://schemas.openxmlformats.org/officeDocument/2006/relationships/hyperlink" Target="https://drive.google.com/file/d/0B9a5BtXYBva5VFNzS2dTZzFHNms/view?usp=sharing" TargetMode="External"/><Relationship Id="rId10" Type="http://schemas.openxmlformats.org/officeDocument/2006/relationships/hyperlink" Target="https://drive.google.com/file/d/0B9a5BtXYBva5Yl85SmoxMXVVdW8/view?usp=sharing" TargetMode="External"/><Relationship Id="rId13" Type="http://schemas.openxmlformats.org/officeDocument/2006/relationships/hyperlink" Target="https://drive.google.com/file/d/0B9a5BtXYBva5aEZsdWZzSzMyTVU/view?usp=sharing" TargetMode="External"/><Relationship Id="rId12" Type="http://schemas.openxmlformats.org/officeDocument/2006/relationships/hyperlink" Target="https://drive.google.com/file/d/0B9a5BtXYBva5WFRBMTU5eGFDYVE/view?usp=sharing" TargetMode="External"/><Relationship Id="rId519" Type="http://schemas.openxmlformats.org/officeDocument/2006/relationships/hyperlink" Target="https://drive.google.com/file/d/0B9a5BtXYBva5bTRzVkRsbFlZejQ/view?usp=sharing" TargetMode="External"/><Relationship Id="rId514" Type="http://schemas.openxmlformats.org/officeDocument/2006/relationships/hyperlink" Target="https://drive.google.com/file/d/0B9a5BtXYBva5dlMxLUZfZXZHUTg/view?usp=sharing" TargetMode="External"/><Relationship Id="rId635" Type="http://schemas.openxmlformats.org/officeDocument/2006/relationships/hyperlink" Target="https://drive.google.com/file/d/1ntKeykV_j4M0Ku6j1S-kVSiil9L8zGtu/view?usp=sharing" TargetMode="External"/><Relationship Id="rId513" Type="http://schemas.openxmlformats.org/officeDocument/2006/relationships/hyperlink" Target="https://drive.google.com/file/d/0B9a5BtXYBva5ZTk2anZqUnBHcnM/view?usp=sharing" TargetMode="External"/><Relationship Id="rId634" Type="http://schemas.openxmlformats.org/officeDocument/2006/relationships/hyperlink" Target="https://drive.google.com/file/d/1MRS1Cl6f8q61qf2SSSPWxduvD8SlgSDa/view?usp=sharing" TargetMode="External"/><Relationship Id="rId512" Type="http://schemas.openxmlformats.org/officeDocument/2006/relationships/hyperlink" Target="https://drive.google.com/file/d/0B9a5BtXYBva5ZmNfeWxJaEljbWs/view?usp=sharing" TargetMode="External"/><Relationship Id="rId633" Type="http://schemas.openxmlformats.org/officeDocument/2006/relationships/hyperlink" Target="https://drive.google.com/file/d/1oS7dWIGeSfDL8w_zvh-RXOZU3Nc5BUQO/view?usp=sharing" TargetMode="External"/><Relationship Id="rId511" Type="http://schemas.openxmlformats.org/officeDocument/2006/relationships/hyperlink" Target="https://drive.google.com/file/d/0B9a5BtXYBva5NU1OcU9FOFF0TmM/view?usp=sharing" TargetMode="External"/><Relationship Id="rId632" Type="http://schemas.openxmlformats.org/officeDocument/2006/relationships/hyperlink" Target="https://drive.google.com/file/d/1P1cElvYgVQ5n0vHykj36YjfpQISvrj4f/view?usp=sharing" TargetMode="External"/><Relationship Id="rId518" Type="http://schemas.openxmlformats.org/officeDocument/2006/relationships/hyperlink" Target="https://drive.google.com/file/d/0B9a5BtXYBva5dTVzM1o3Z0FpbUU/view?usp=sharing" TargetMode="External"/><Relationship Id="rId639" Type="http://schemas.openxmlformats.org/officeDocument/2006/relationships/hyperlink" Target="https://drive.google.com/file/d/1kr7nHn4lYzyqLqMr5RohqudL0WnGUBm1/view?usp=sharing" TargetMode="External"/><Relationship Id="rId517" Type="http://schemas.openxmlformats.org/officeDocument/2006/relationships/hyperlink" Target="https://drive.google.com/file/d/0B9a5BtXYBva5SWJFSWRNR1FNekk/view?usp=sharing" TargetMode="External"/><Relationship Id="rId638" Type="http://schemas.openxmlformats.org/officeDocument/2006/relationships/hyperlink" Target="https://drive.google.com/file/d/1S7h-Y4kH9Fe3soVdWNIxKo-BUi07ll5z/view?usp=sharing" TargetMode="External"/><Relationship Id="rId516" Type="http://schemas.openxmlformats.org/officeDocument/2006/relationships/hyperlink" Target="https://drive.google.com/file/d/0B9a5BtXYBva5dnRTT2VOWkFJRGM/view?usp=sharing" TargetMode="External"/><Relationship Id="rId637" Type="http://schemas.openxmlformats.org/officeDocument/2006/relationships/hyperlink" Target="https://drive.google.com/file/d/1PKVUkozDZrIXkw47diMbcDUDqpQ6Nk5E/view?usp=sharing" TargetMode="External"/><Relationship Id="rId515" Type="http://schemas.openxmlformats.org/officeDocument/2006/relationships/hyperlink" Target="https://drive.google.com/file/d/0B9a5BtXYBva5RjNoNURUODZKSE0/view?usp=sharing" TargetMode="External"/><Relationship Id="rId636" Type="http://schemas.openxmlformats.org/officeDocument/2006/relationships/hyperlink" Target="https://drive.google.com/file/d/1eOaVeLemZAu_74LRNtijfwizt82aaqIi/view?usp=sharing" TargetMode="External"/><Relationship Id="rId15" Type="http://schemas.openxmlformats.org/officeDocument/2006/relationships/hyperlink" Target="https://drive.google.com/file/d/0B9a5BtXYBva5WG9RdDdCV0JsY3c/view?usp=sharing" TargetMode="External"/><Relationship Id="rId14" Type="http://schemas.openxmlformats.org/officeDocument/2006/relationships/hyperlink" Target="https://drive.google.com/file/d/0B9a5BtXYBva5OC1RSlBHMUlmNFk/view?usp=sharing" TargetMode="External"/><Relationship Id="rId17" Type="http://schemas.openxmlformats.org/officeDocument/2006/relationships/hyperlink" Target="https://drive.google.com/file/d/0B9a5BtXYBva5MHM3U1otbWNYR28/view?usp=sharing" TargetMode="External"/><Relationship Id="rId16" Type="http://schemas.openxmlformats.org/officeDocument/2006/relationships/hyperlink" Target="https://drive.google.com/file/d/0B9a5BtXYBva5cDR0WEZ0YnpvNGs/view?usp=sharing" TargetMode="External"/><Relationship Id="rId19" Type="http://schemas.openxmlformats.org/officeDocument/2006/relationships/hyperlink" Target="https://drive.google.com/file/d/0B9a5BtXYBva5bE55VmJfLWp5NWM/view?usp=sharing" TargetMode="External"/><Relationship Id="rId510" Type="http://schemas.openxmlformats.org/officeDocument/2006/relationships/hyperlink" Target="https://drive.google.com/file/d/0B9a5BtXYBva5SGhXTk1QRmpoZWM/view?usp=sharing" TargetMode="External"/><Relationship Id="rId631" Type="http://schemas.openxmlformats.org/officeDocument/2006/relationships/hyperlink" Target="https://drive.google.com/file/d/1gl0Ap4MEPWz2V6_8YfBKLOBpONkvq2q6/view?usp=sharing" TargetMode="External"/><Relationship Id="rId18" Type="http://schemas.openxmlformats.org/officeDocument/2006/relationships/hyperlink" Target="https://drive.google.com/file/d/0B9a5BtXYBva5VlotMGxPNkhpZDg/view?usp=sharing" TargetMode="External"/><Relationship Id="rId630" Type="http://schemas.openxmlformats.org/officeDocument/2006/relationships/hyperlink" Target="https://drive.google.com/file/d/1VRaxDLvZf9ulZzyS69aEmhgKTAkljiO5/view?usp=sharing" TargetMode="External"/><Relationship Id="rId84" Type="http://schemas.openxmlformats.org/officeDocument/2006/relationships/hyperlink" Target="https://drive.google.com/file/d/0B9a5BtXYBva5V25wQjdCc1VXUTA/view?usp=sharing" TargetMode="External"/><Relationship Id="rId83" Type="http://schemas.openxmlformats.org/officeDocument/2006/relationships/hyperlink" Target="https://drive.google.com/file/d/0B9a5BtXYBva5aU1nMjljckY2YUU/view?usp=sharing" TargetMode="External"/><Relationship Id="rId86" Type="http://schemas.openxmlformats.org/officeDocument/2006/relationships/hyperlink" Target="https://drive.google.com/file/d/0B9a5BtXYBva5TXk5d084RWZLUXM/view?usp=sharing" TargetMode="External"/><Relationship Id="rId85" Type="http://schemas.openxmlformats.org/officeDocument/2006/relationships/hyperlink" Target="https://drive.google.com/file/d/0B9a5BtXYBva5Q09vOVVOY2tRZG8/view?usp=sharing" TargetMode="External"/><Relationship Id="rId88" Type="http://schemas.openxmlformats.org/officeDocument/2006/relationships/hyperlink" Target="https://drive.google.com/file/d/0B9a5BtXYBva5ZllXdl9MLWJXNjQ/view?usp=sharing" TargetMode="External"/><Relationship Id="rId87" Type="http://schemas.openxmlformats.org/officeDocument/2006/relationships/hyperlink" Target="https://drive.google.com/file/d/0B9a5BtXYBva5dTFIQWdxdlZRVnM/view?usp=sharing" TargetMode="External"/><Relationship Id="rId89" Type="http://schemas.openxmlformats.org/officeDocument/2006/relationships/hyperlink" Target="https://drive.google.com/file/d/0B9a5BtXYBva5VHltMXR4TjJodDg/view?usp=sharing" TargetMode="External"/><Relationship Id="rId80" Type="http://schemas.openxmlformats.org/officeDocument/2006/relationships/hyperlink" Target="https://drive.google.com/file/d/0B9a5BtXYBva5TWlTQmVTMjRyN1k/view?usp=sharing" TargetMode="External"/><Relationship Id="rId82" Type="http://schemas.openxmlformats.org/officeDocument/2006/relationships/hyperlink" Target="https://drive.google.com/file/d/0B9a5BtXYBva5YVd4WjlGenJIRWM/view?usp=sharing" TargetMode="External"/><Relationship Id="rId81" Type="http://schemas.openxmlformats.org/officeDocument/2006/relationships/hyperlink" Target="https://drive.google.com/file/d/0B9a5BtXYBva5MnA5LXFlSjBFRWc/view?usp=sharing" TargetMode="External"/><Relationship Id="rId73" Type="http://schemas.openxmlformats.org/officeDocument/2006/relationships/hyperlink" Target="https://drive.google.com/file/d/0B9a5BtXYBva5OEgzS0ZfSkwteEU/view?usp=sharing" TargetMode="External"/><Relationship Id="rId72" Type="http://schemas.openxmlformats.org/officeDocument/2006/relationships/hyperlink" Target="https://drive.google.com/file/d/0B9a5BtXYBva5TkNTd05wLU82RWM/view?usp=sharing" TargetMode="External"/><Relationship Id="rId75" Type="http://schemas.openxmlformats.org/officeDocument/2006/relationships/hyperlink" Target="https://drive.google.com/file/d/0B9a5BtXYBva5dGdnV2NFV1hUNlk/view?usp=sharing" TargetMode="External"/><Relationship Id="rId74" Type="http://schemas.openxmlformats.org/officeDocument/2006/relationships/hyperlink" Target="https://drive.google.com/file/d/0B9a5BtXYBva5UF9xNmNxRDJaN1k/view?usp=sharing" TargetMode="External"/><Relationship Id="rId77" Type="http://schemas.openxmlformats.org/officeDocument/2006/relationships/hyperlink" Target="https://drive.google.com/file/d/0B9a5BtXYBva5LUo0WHNlam1ld1E/view?usp=sharing" TargetMode="External"/><Relationship Id="rId76" Type="http://schemas.openxmlformats.org/officeDocument/2006/relationships/hyperlink" Target="https://drive.google.com/file/d/0B9a5BtXYBva5UlRDU3h3alFrWlU/view?usp=sharing" TargetMode="External"/><Relationship Id="rId79" Type="http://schemas.openxmlformats.org/officeDocument/2006/relationships/hyperlink" Target="https://drive.google.com/file/d/0B9a5BtXYBva5c0VIVzN2NnFTV2s/view?usp=sharing" TargetMode="External"/><Relationship Id="rId78" Type="http://schemas.openxmlformats.org/officeDocument/2006/relationships/hyperlink" Target="https://drive.google.com/file/d/0B9a5BtXYBva5OE00bU9iWXJWZGs/view?usp=sharing" TargetMode="External"/><Relationship Id="rId71" Type="http://schemas.openxmlformats.org/officeDocument/2006/relationships/hyperlink" Target="https://drive.google.com/file/d/0B9a5BtXYBva5SjQtTmtXUm9LZ0E/view?usp=sharing" TargetMode="External"/><Relationship Id="rId70" Type="http://schemas.openxmlformats.org/officeDocument/2006/relationships/hyperlink" Target="https://drive.google.com/file/d/0B9a5BtXYBva5Z2x5X1pCU0plWTA/view?usp=sharing" TargetMode="External"/><Relationship Id="rId62" Type="http://schemas.openxmlformats.org/officeDocument/2006/relationships/hyperlink" Target="https://drive.google.com/file/d/0B9a5BtXYBva5aHBSbkV2TkJEeTA/view?usp=sharing" TargetMode="External"/><Relationship Id="rId61" Type="http://schemas.openxmlformats.org/officeDocument/2006/relationships/hyperlink" Target="https://drive.google.com/file/d/0B9a5BtXYBva5U2F5bk5MZUxLaWc/view?usp=sharing" TargetMode="External"/><Relationship Id="rId64" Type="http://schemas.openxmlformats.org/officeDocument/2006/relationships/hyperlink" Target="https://drive.google.com/file/d/0B9a5BtXYBva5NWFZV1VURUwtWlU/view?usp=sharing" TargetMode="External"/><Relationship Id="rId63" Type="http://schemas.openxmlformats.org/officeDocument/2006/relationships/hyperlink" Target="https://drive.google.com/file/d/0B9a5BtXYBva5YXBQNUpzZndzN0k/view?usp=sharing" TargetMode="External"/><Relationship Id="rId66" Type="http://schemas.openxmlformats.org/officeDocument/2006/relationships/hyperlink" Target="https://drive.google.com/file/d/0B9a5BtXYBva5eUJDZFBlNjc0Zms/view?usp=sharing" TargetMode="External"/><Relationship Id="rId65" Type="http://schemas.openxmlformats.org/officeDocument/2006/relationships/hyperlink" Target="https://drive.google.com/file/d/0B9a5BtXYBva5c25sWmJQSzVpOGc/view?usp=sharing" TargetMode="External"/><Relationship Id="rId68" Type="http://schemas.openxmlformats.org/officeDocument/2006/relationships/hyperlink" Target="https://drive.google.com/file/d/0B9a5BtXYBva5MVlCdnBLX0FQV28/view?usp=sharing" TargetMode="External"/><Relationship Id="rId67" Type="http://schemas.openxmlformats.org/officeDocument/2006/relationships/hyperlink" Target="https://drive.google.com/file/d/0B9a5BtXYBva5bE1oZGlNZVNjSUE/view?usp=sharing" TargetMode="External"/><Relationship Id="rId609" Type="http://schemas.openxmlformats.org/officeDocument/2006/relationships/hyperlink" Target="https://drive.google.com/a/uesc.br/file/d/0B9a5BtXYBva5dDFjSVB0TENjTUU/view?usp=sharing" TargetMode="External"/><Relationship Id="rId608" Type="http://schemas.openxmlformats.org/officeDocument/2006/relationships/hyperlink" Target="https://drive.google.com/a/uesc.br/file/d/0B9a5BtXYBva5aEtUX3M3LXpVM1E/view?usp=sharing" TargetMode="External"/><Relationship Id="rId607" Type="http://schemas.openxmlformats.org/officeDocument/2006/relationships/hyperlink" Target="https://drive.google.com/a/uesc.br/file/d/0B9a5BtXYBva5WE5yX0trRjhIZEk/view?usp=sharing" TargetMode="External"/><Relationship Id="rId60" Type="http://schemas.openxmlformats.org/officeDocument/2006/relationships/hyperlink" Target="https://drive.google.com/file/d/0B9a5BtXYBva5NTBBNUxEbE55OXc/view?usp=sharing" TargetMode="External"/><Relationship Id="rId602" Type="http://schemas.openxmlformats.org/officeDocument/2006/relationships/hyperlink" Target="https://drive.google.com/a/uesc.br/file/d/0B9a5BtXYBva5WTF4d3I0UjJNeTQ/view?usp=sharing" TargetMode="External"/><Relationship Id="rId601" Type="http://schemas.openxmlformats.org/officeDocument/2006/relationships/hyperlink" Target="https://drive.google.com/a/uesc.br/file/d/0B9a5BtXYBva5WW4zZ1pHVzJjZDA/view?usp=sharing" TargetMode="External"/><Relationship Id="rId600" Type="http://schemas.openxmlformats.org/officeDocument/2006/relationships/hyperlink" Target="https://drive.google.com/a/uesc.br/file/d/0B9a5BtXYBva5ZWlrcThKMnVsZjQ/view?usp=sharing" TargetMode="External"/><Relationship Id="rId606" Type="http://schemas.openxmlformats.org/officeDocument/2006/relationships/hyperlink" Target="https://drive.google.com/a/uesc.br/file/d/0B9a5BtXYBva5cFJzTlRGRWhpeTg/view?usp=sharing" TargetMode="External"/><Relationship Id="rId605" Type="http://schemas.openxmlformats.org/officeDocument/2006/relationships/hyperlink" Target="https://drive.google.com/a/uesc.br/file/d/0B9a5BtXYBva5MVN2MGhIWDhDd1k/view?usp=sharing" TargetMode="External"/><Relationship Id="rId604" Type="http://schemas.openxmlformats.org/officeDocument/2006/relationships/hyperlink" Target="https://drive.google.com/a/uesc.br/file/d/0B9a5BtXYBva5Wk9tYkdOX3ZSeU0/view?usp=sharing" TargetMode="External"/><Relationship Id="rId603" Type="http://schemas.openxmlformats.org/officeDocument/2006/relationships/hyperlink" Target="https://drive.google.com/a/uesc.br/file/d/0B9a5BtXYBva5ZWQxTjlVOTlpbGM/view?usp=sharing" TargetMode="External"/><Relationship Id="rId69" Type="http://schemas.openxmlformats.org/officeDocument/2006/relationships/hyperlink" Target="https://drive.google.com/file/d/0B9a5BtXYBva5MkNQTVY1YjJsNGc/view?usp=sharing" TargetMode="External"/><Relationship Id="rId51" Type="http://schemas.openxmlformats.org/officeDocument/2006/relationships/hyperlink" Target="https://drive.google.com/file/d/0B9a5BtXYBva5X1RZeFZsNUxZTUk/view?usp=sharing" TargetMode="External"/><Relationship Id="rId50" Type="http://schemas.openxmlformats.org/officeDocument/2006/relationships/hyperlink" Target="https://drive.google.com/file/d/0B9a5BtXYBva5REhmaWE3MVF3Vk0/view?usp=sharing" TargetMode="External"/><Relationship Id="rId53" Type="http://schemas.openxmlformats.org/officeDocument/2006/relationships/hyperlink" Target="https://drive.google.com/file/d/0B9a5BtXYBva5UmZvU2pBckdyVXc/view?usp=sharing" TargetMode="External"/><Relationship Id="rId52" Type="http://schemas.openxmlformats.org/officeDocument/2006/relationships/hyperlink" Target="https://drive.google.com/file/d/0B9a5BtXYBva5amYwSko2ZXREMTA/view?usp=sharing" TargetMode="External"/><Relationship Id="rId55" Type="http://schemas.openxmlformats.org/officeDocument/2006/relationships/hyperlink" Target="https://drive.google.com/file/d/0B9a5BtXYBva5dzNfdTd5ZFlNTFE/view?usp=sharing" TargetMode="External"/><Relationship Id="rId54" Type="http://schemas.openxmlformats.org/officeDocument/2006/relationships/hyperlink" Target="https://drive.google.com/file/d/0B9a5BtXYBva5b1dLZDRGeUdOdUk/view?usp=sharing" TargetMode="External"/><Relationship Id="rId57" Type="http://schemas.openxmlformats.org/officeDocument/2006/relationships/hyperlink" Target="https://drive.google.com/file/d/0B9a5BtXYBva5bVNaZklBMFp5TWc/view?usp=sharing" TargetMode="External"/><Relationship Id="rId56" Type="http://schemas.openxmlformats.org/officeDocument/2006/relationships/hyperlink" Target="https://drive.google.com/file/d/0B9a5BtXYBva5S0FsZHdhT2tIN1k/view?usp=sharing" TargetMode="External"/><Relationship Id="rId59" Type="http://schemas.openxmlformats.org/officeDocument/2006/relationships/hyperlink" Target="https://drive.google.com/file/d/0B9a5BtXYBva5UFc0Nk85RjFBZnM/view?usp=sharing" TargetMode="External"/><Relationship Id="rId58" Type="http://schemas.openxmlformats.org/officeDocument/2006/relationships/hyperlink" Target="https://drive.google.com/file/d/0B9a5BtXYBva5S0VnV3cyRkNReTg/view?usp=sharing" TargetMode="External"/><Relationship Id="rId590" Type="http://schemas.openxmlformats.org/officeDocument/2006/relationships/hyperlink" Target="https://drive.google.com/a/uesc.br/file/d/0B9a5BtXYBva5UkFsVE1nUWl5c0E/view?usp=sharing" TargetMode="External"/><Relationship Id="rId107" Type="http://schemas.openxmlformats.org/officeDocument/2006/relationships/hyperlink" Target="https://drive.google.com/file/d/0B9a5BtXYBva5MmJCTzhsSjNzS1U/view?usp=sharing" TargetMode="External"/><Relationship Id="rId228" Type="http://schemas.openxmlformats.org/officeDocument/2006/relationships/hyperlink" Target="https://drive.google.com/file/d/0B9a5BtXYBva5UlAyNkMxam5ySTA/view?usp=sharing" TargetMode="External"/><Relationship Id="rId349" Type="http://schemas.openxmlformats.org/officeDocument/2006/relationships/hyperlink" Target="https://drive.google.com/file/d/0B9a5BtXYBva5akJ5VTBQMjYxcFk/view?usp=sharing" TargetMode="External"/><Relationship Id="rId106" Type="http://schemas.openxmlformats.org/officeDocument/2006/relationships/hyperlink" Target="https://drive.google.com/file/d/0B9a5BtXYBva5TnZDQWdvdWR1cFE/view?usp=sharing" TargetMode="External"/><Relationship Id="rId227" Type="http://schemas.openxmlformats.org/officeDocument/2006/relationships/hyperlink" Target="https://drive.google.com/file/d/0B9a5BtXYBva5TVYtM2lqZnJkM3M/view?usp=sharing" TargetMode="External"/><Relationship Id="rId348" Type="http://schemas.openxmlformats.org/officeDocument/2006/relationships/hyperlink" Target="https://drive.google.com/file/d/0B9a5BtXYBva5REN4OGJqWG1UN1k/view?usp=sharing" TargetMode="External"/><Relationship Id="rId469" Type="http://schemas.openxmlformats.org/officeDocument/2006/relationships/hyperlink" Target="https://drive.google.com/file/d/0B9a5BtXYBva5YjZqajBrUncyM1E/view?usp=sharing" TargetMode="External"/><Relationship Id="rId105" Type="http://schemas.openxmlformats.org/officeDocument/2006/relationships/hyperlink" Target="https://drive.google.com/file/d/0B9a5BtXYBva5dWJtZVh5bklmMzg/view?usp=sharing" TargetMode="External"/><Relationship Id="rId226" Type="http://schemas.openxmlformats.org/officeDocument/2006/relationships/hyperlink" Target="https://drive.google.com/file/d/0B9a5BtXYBva5UDJKTU16S0NrNE0/view?usp=sharing" TargetMode="External"/><Relationship Id="rId347" Type="http://schemas.openxmlformats.org/officeDocument/2006/relationships/hyperlink" Target="https://drive.google.com/file/d/0B9a5BtXYBva5TEdwTTlJdGRUaVU/view?usp=sharing" TargetMode="External"/><Relationship Id="rId468" Type="http://schemas.openxmlformats.org/officeDocument/2006/relationships/hyperlink" Target="https://drive.google.com/file/d/0B9a5BtXYBva5cEE5SGNSczlVa28/view?usp=sharing" TargetMode="External"/><Relationship Id="rId589" Type="http://schemas.openxmlformats.org/officeDocument/2006/relationships/hyperlink" Target="https://drive.google.com/a/uesc.br/file/d/0B9a5BtXYBva5MEFLcjUxemlaaFk/view?usp=sharing" TargetMode="External"/><Relationship Id="rId104" Type="http://schemas.openxmlformats.org/officeDocument/2006/relationships/hyperlink" Target="https://drive.google.com/file/d/0B9a5BtXYBva5UG5qY2xxZWhLZXM/view?usp=sharing" TargetMode="External"/><Relationship Id="rId225" Type="http://schemas.openxmlformats.org/officeDocument/2006/relationships/hyperlink" Target="https://drive.google.com/file/d/0B9a5BtXYBva5dXVVN1IzelJvQ0k/view?usp=sharing" TargetMode="External"/><Relationship Id="rId346" Type="http://schemas.openxmlformats.org/officeDocument/2006/relationships/hyperlink" Target="https://drive.google.com/file/d/0B9a5BtXYBva5X2V1dUR5WU02dGM/view?usp=sharing" TargetMode="External"/><Relationship Id="rId467" Type="http://schemas.openxmlformats.org/officeDocument/2006/relationships/hyperlink" Target="https://drive.google.com/file/d/0B9a5BtXYBva5R0hNSndMV3Q5aGM/view?usp=sharing" TargetMode="External"/><Relationship Id="rId588" Type="http://schemas.openxmlformats.org/officeDocument/2006/relationships/hyperlink" Target="https://drive.google.com/a/uesc.br/file/d/0B9a5BtXYBva5V2VFY21wejJLTDQ/view?usp=sharing" TargetMode="External"/><Relationship Id="rId109" Type="http://schemas.openxmlformats.org/officeDocument/2006/relationships/hyperlink" Target="https://drive.google.com/file/d/0B9a5BtXYBva5X2RZbjVGWFZMQ0E/view?usp=sharing" TargetMode="External"/><Relationship Id="rId108" Type="http://schemas.openxmlformats.org/officeDocument/2006/relationships/hyperlink" Target="https://drive.google.com/file/d/0B9a5BtXYBva5a2JkcVZuQzRZZ0U/view?usp=sharing" TargetMode="External"/><Relationship Id="rId229" Type="http://schemas.openxmlformats.org/officeDocument/2006/relationships/hyperlink" Target="https://drive.google.com/file/d/0B9a5BtXYBva5dmE1WU90UW5NNkk/view?usp=sharing" TargetMode="External"/><Relationship Id="rId220" Type="http://schemas.openxmlformats.org/officeDocument/2006/relationships/hyperlink" Target="https://drive.google.com/file/d/0B9a5BtXYBva5endsZ29LY0E3ZDA/view?usp=sharing" TargetMode="External"/><Relationship Id="rId341" Type="http://schemas.openxmlformats.org/officeDocument/2006/relationships/hyperlink" Target="https://drive.google.com/file/d/0B9a5BtXYBva5ZTNLSUpRd0RqSEE/view?usp=sharing" TargetMode="External"/><Relationship Id="rId462" Type="http://schemas.openxmlformats.org/officeDocument/2006/relationships/hyperlink" Target="https://drive.google.com/file/d/0B9a5BtXYBva5VkFzTmJQcUNVdVE/view?usp=sharing" TargetMode="External"/><Relationship Id="rId583" Type="http://schemas.openxmlformats.org/officeDocument/2006/relationships/hyperlink" Target="https://drive.google.com/a/uesc.br/file/d/0B9a5BtXYBva5ZEdpTU1lazFhTW8/view?usp=sharing" TargetMode="External"/><Relationship Id="rId340" Type="http://schemas.openxmlformats.org/officeDocument/2006/relationships/hyperlink" Target="https://drive.google.com/file/d/0B9a5BtXYBva5N3dNWGNUQllsblU/view?usp=sharing" TargetMode="External"/><Relationship Id="rId461" Type="http://schemas.openxmlformats.org/officeDocument/2006/relationships/hyperlink" Target="https://drive.google.com/file/d/0B9a5BtXYBva5TVdaMl9mdV9uTFE/view?usp=sharing" TargetMode="External"/><Relationship Id="rId582" Type="http://schemas.openxmlformats.org/officeDocument/2006/relationships/hyperlink" Target="https://drive.google.com/a/uesc.br/file/d/0B9a5BtXYBva5cFNEa3ZZTmx4dlk/view?usp=sharing" TargetMode="External"/><Relationship Id="rId460" Type="http://schemas.openxmlformats.org/officeDocument/2006/relationships/hyperlink" Target="https://drive.google.com/file/d/0B9a5BtXYBva5a2oya3Z2bnFXekE/view?usp=sharing" TargetMode="External"/><Relationship Id="rId581" Type="http://schemas.openxmlformats.org/officeDocument/2006/relationships/hyperlink" Target="https://drive.google.com/a/uesc.br/file/d/0B9a5BtXYBva5R1NoNEtvdk9YQ0U/view?usp=sharing" TargetMode="External"/><Relationship Id="rId580" Type="http://schemas.openxmlformats.org/officeDocument/2006/relationships/hyperlink" Target="https://drive.google.com/a/uesc.br/file/d/0B9a5BtXYBva5cFhuamZ3eldyVlU/view?usp=sharing" TargetMode="External"/><Relationship Id="rId103" Type="http://schemas.openxmlformats.org/officeDocument/2006/relationships/hyperlink" Target="https://drive.google.com/file/d/0B9a5BtXYBva5Z2dpTWMzRGlhRnc/view?usp=sharing" TargetMode="External"/><Relationship Id="rId224" Type="http://schemas.openxmlformats.org/officeDocument/2006/relationships/hyperlink" Target="https://drive.google.com/file/d/0B9a5BtXYBva5VmtFSnFhbTk4d1k/view?usp=sharing" TargetMode="External"/><Relationship Id="rId345" Type="http://schemas.openxmlformats.org/officeDocument/2006/relationships/hyperlink" Target="https://drive.google.com/file/d/0B9a5BtXYBva5ZWx6N3h6dzBKMzA/view?usp=sharing" TargetMode="External"/><Relationship Id="rId466" Type="http://schemas.openxmlformats.org/officeDocument/2006/relationships/hyperlink" Target="https://drive.google.com/file/d/0B9a5BtXYBva5Wk5leXkwUjM2N2c/view?usp=sharing" TargetMode="External"/><Relationship Id="rId587" Type="http://schemas.openxmlformats.org/officeDocument/2006/relationships/hyperlink" Target="https://drive.google.com/a/uesc.br/file/d/0B9a5BtXYBva5R2VEQXdYWW1FbkU/view?usp=sharing" TargetMode="External"/><Relationship Id="rId102" Type="http://schemas.openxmlformats.org/officeDocument/2006/relationships/hyperlink" Target="https://drive.google.com/file/d/0B9a5BtXYBva5SVVmNy1IQWc3enM/view?usp=sharing" TargetMode="External"/><Relationship Id="rId223" Type="http://schemas.openxmlformats.org/officeDocument/2006/relationships/hyperlink" Target="https://drive.google.com/file/d/0B9a5BtXYBva5MnY1UmgwR3h2UTg/view?usp=sharing" TargetMode="External"/><Relationship Id="rId344" Type="http://schemas.openxmlformats.org/officeDocument/2006/relationships/hyperlink" Target="https://drive.google.com/file/d/0B9a5BtXYBva5Sm5qN0R3Q1dNUFk/view?usp=sharing" TargetMode="External"/><Relationship Id="rId465" Type="http://schemas.openxmlformats.org/officeDocument/2006/relationships/hyperlink" Target="https://drive.google.com/file/d/0B9a5BtXYBva5a0xiQWRYNktnWnc/view?usp=sharing" TargetMode="External"/><Relationship Id="rId586" Type="http://schemas.openxmlformats.org/officeDocument/2006/relationships/hyperlink" Target="https://drive.google.com/a/uesc.br/file/d/0B9a5BtXYBva5U1hMSHZBX0xVSGM/view?usp=sharing" TargetMode="External"/><Relationship Id="rId101" Type="http://schemas.openxmlformats.org/officeDocument/2006/relationships/hyperlink" Target="https://drive.google.com/file/d/0B9a5BtXYBva5REV3WVZWNGFHR28/view?usp=sharing" TargetMode="External"/><Relationship Id="rId222" Type="http://schemas.openxmlformats.org/officeDocument/2006/relationships/hyperlink" Target="https://drive.google.com/file/d/0B9a5BtXYBva5ejZ4NDBmamEzUjA/view?usp=sharing" TargetMode="External"/><Relationship Id="rId343" Type="http://schemas.openxmlformats.org/officeDocument/2006/relationships/hyperlink" Target="https://drive.google.com/file/d/0B9a5BtXYBva5MFBpUzJsd3RycXc/view?usp=sharing" TargetMode="External"/><Relationship Id="rId464" Type="http://schemas.openxmlformats.org/officeDocument/2006/relationships/hyperlink" Target="https://drive.google.com/file/d/0B9a5BtXYBva5WXVJRXFoZHp4SXM/view?usp=sharing" TargetMode="External"/><Relationship Id="rId585" Type="http://schemas.openxmlformats.org/officeDocument/2006/relationships/hyperlink" Target="https://drive.google.com/a/uesc.br/file/d/0B9a5BtXYBva5WERqLWxNbzRuZFk/view?usp=sharing" TargetMode="External"/><Relationship Id="rId100" Type="http://schemas.openxmlformats.org/officeDocument/2006/relationships/hyperlink" Target="https://drive.google.com/file/d/0B9a5BtXYBva5T094ZldlOGxmOEU/view?usp=sharing" TargetMode="External"/><Relationship Id="rId221" Type="http://schemas.openxmlformats.org/officeDocument/2006/relationships/hyperlink" Target="https://drive.google.com/file/d/0B9a5BtXYBva5NG5TXzgzNHRISjg/view?usp=sharing" TargetMode="External"/><Relationship Id="rId342" Type="http://schemas.openxmlformats.org/officeDocument/2006/relationships/hyperlink" Target="https://drive.google.com/file/d/0B9a5BtXYBva5c1BnTXN4VjhZQms/view?usp=sharing" TargetMode="External"/><Relationship Id="rId463" Type="http://schemas.openxmlformats.org/officeDocument/2006/relationships/hyperlink" Target="https://drive.google.com/file/d/0B9a5BtXYBva5TVdNem9tRmZvb0k/view?usp=sharing" TargetMode="External"/><Relationship Id="rId584" Type="http://schemas.openxmlformats.org/officeDocument/2006/relationships/hyperlink" Target="https://drive.google.com/a/uesc.br/file/d/0B9a5BtXYBva5djI5VDBBanFaUHc/view?usp=sharing" TargetMode="External"/><Relationship Id="rId217" Type="http://schemas.openxmlformats.org/officeDocument/2006/relationships/hyperlink" Target="https://drive.google.com/file/d/0B9a5BtXYBva5N2dIZzBYeTdUUnM/view?usp=sharing" TargetMode="External"/><Relationship Id="rId338" Type="http://schemas.openxmlformats.org/officeDocument/2006/relationships/hyperlink" Target="https://drive.google.com/file/d/0B9a5BtXYBva5bmF5dmF1SU84RTg/view?usp=sharing" TargetMode="External"/><Relationship Id="rId459" Type="http://schemas.openxmlformats.org/officeDocument/2006/relationships/hyperlink" Target="https://drive.google.com/file/d/0B9a5BtXYBva5bktJemt4dGpqbzA/view?usp=sharing" TargetMode="External"/><Relationship Id="rId216" Type="http://schemas.openxmlformats.org/officeDocument/2006/relationships/hyperlink" Target="https://drive.google.com/file/d/0B9a5BtXYBva5bDlweW16SWhoa3c/view?usp=sharing" TargetMode="External"/><Relationship Id="rId337" Type="http://schemas.openxmlformats.org/officeDocument/2006/relationships/hyperlink" Target="https://drive.google.com/file/d/0B9a5BtXYBva5SkdoSnhDNFZqcWs/view?usp=sharing" TargetMode="External"/><Relationship Id="rId458" Type="http://schemas.openxmlformats.org/officeDocument/2006/relationships/hyperlink" Target="https://drive.google.com/file/d/0B9a5BtXYBva5T0FXeVVNVWVzNzQ/view?usp=sharing" TargetMode="External"/><Relationship Id="rId579" Type="http://schemas.openxmlformats.org/officeDocument/2006/relationships/hyperlink" Target="https://drive.google.com/a/uesc.br/file/d/0B9a5BtXYBva5Y0xrc0hKdUFnNkk/view?usp=sharing" TargetMode="External"/><Relationship Id="rId215" Type="http://schemas.openxmlformats.org/officeDocument/2006/relationships/hyperlink" Target="https://drive.google.com/file/d/0B9a5BtXYBva5QWNkdW0wa2laQTQ/view?usp=sharing" TargetMode="External"/><Relationship Id="rId336" Type="http://schemas.openxmlformats.org/officeDocument/2006/relationships/hyperlink" Target="https://drive.google.com/file/d/0B9a5BtXYBva5MVljdzZhcG15Njg/view?usp=sharing" TargetMode="External"/><Relationship Id="rId457" Type="http://schemas.openxmlformats.org/officeDocument/2006/relationships/hyperlink" Target="https://drive.google.com/file/d/0B9a5BtXYBva5d0R6cTAxRzZuME0/view?usp=sharing" TargetMode="External"/><Relationship Id="rId578" Type="http://schemas.openxmlformats.org/officeDocument/2006/relationships/hyperlink" Target="https://drive.google.com/a/uesc.br/file/d/0B9a5BtXYBva5TU9Zd2FLYlNSX0E/view?usp=sharing" TargetMode="External"/><Relationship Id="rId214" Type="http://schemas.openxmlformats.org/officeDocument/2006/relationships/hyperlink" Target="https://drive.google.com/file/d/0B9a5BtXYBva5azJHVVl6dVJ6SkU/view?usp=sharing" TargetMode="External"/><Relationship Id="rId335" Type="http://schemas.openxmlformats.org/officeDocument/2006/relationships/hyperlink" Target="https://drive.google.com/file/d/0B9a5BtXYBva5eV96MHI1OE5JYzA/view?usp=sharing" TargetMode="External"/><Relationship Id="rId456" Type="http://schemas.openxmlformats.org/officeDocument/2006/relationships/hyperlink" Target="https://drive.google.com/file/d/0B9a5BtXYBva5MXpmdGJBejVkWkE/view?usp=sharing" TargetMode="External"/><Relationship Id="rId577" Type="http://schemas.openxmlformats.org/officeDocument/2006/relationships/hyperlink" Target="https://drive.google.com/a/uesc.br/file/d/0B9a5BtXYBva5WkxwSjl2Tk9HdUk/view?usp=sharing" TargetMode="External"/><Relationship Id="rId219" Type="http://schemas.openxmlformats.org/officeDocument/2006/relationships/hyperlink" Target="https://drive.google.com/file/d/0B9a5BtXYBva5NUYyZWQ2eFhvR3M/view?usp=sharing" TargetMode="External"/><Relationship Id="rId218" Type="http://schemas.openxmlformats.org/officeDocument/2006/relationships/hyperlink" Target="https://drive.google.com/file/d/0B9a5BtXYBva5UDUwOEhWclM2YlE/view?usp=sharing" TargetMode="External"/><Relationship Id="rId339" Type="http://schemas.openxmlformats.org/officeDocument/2006/relationships/hyperlink" Target="https://drive.google.com/file/d/0B9a5BtXYBva5N3RscXVmNllYakU/view?usp=sharing" TargetMode="External"/><Relationship Id="rId330" Type="http://schemas.openxmlformats.org/officeDocument/2006/relationships/hyperlink" Target="https://drive.google.com/file/d/0B9a5BtXYBva5eGpaTlFVSTNTTUk/view?usp=sharing" TargetMode="External"/><Relationship Id="rId451" Type="http://schemas.openxmlformats.org/officeDocument/2006/relationships/hyperlink" Target="https://drive.google.com/file/d/0B9a5BtXYBva5UlJqdG5ad1h3dVE/view?usp=sharing" TargetMode="External"/><Relationship Id="rId572" Type="http://schemas.openxmlformats.org/officeDocument/2006/relationships/hyperlink" Target="https://drive.google.com/a/uesc.br/file/d/0B9a5BtXYBva5M1NTenZJV05OUnc/view?usp=sharing" TargetMode="External"/><Relationship Id="rId693" Type="http://schemas.openxmlformats.org/officeDocument/2006/relationships/hyperlink" Target="https://drive.google.com/file/d/1FGFBQ0G5GYi_LtzX-enYHQJjsHuwYqRb/view?usp=sharing" TargetMode="External"/><Relationship Id="rId450" Type="http://schemas.openxmlformats.org/officeDocument/2006/relationships/hyperlink" Target="https://drive.google.com/file/d/0B9a5BtXYBva5aHBBSkFLbzh5eUk/view?usp=sharing" TargetMode="External"/><Relationship Id="rId571" Type="http://schemas.openxmlformats.org/officeDocument/2006/relationships/hyperlink" Target="https://drive.google.com/a/uesc.br/file/d/0B9a5BtXYBva5S1E2cFFFbS1pRGM/view?usp=sharing" TargetMode="External"/><Relationship Id="rId692" Type="http://schemas.openxmlformats.org/officeDocument/2006/relationships/hyperlink" Target="https://drive.google.com/file/d/1QJCSFAMwAhO3CTofAglmgidOKNyDkTn5/view?usp=sharing" TargetMode="External"/><Relationship Id="rId570" Type="http://schemas.openxmlformats.org/officeDocument/2006/relationships/hyperlink" Target="https://drive.google.com/a/uesc.br/file/d/0B9a5BtXYBva5di10bFlIN3FQeDQ/view?usp=sharing" TargetMode="External"/><Relationship Id="rId691" Type="http://schemas.openxmlformats.org/officeDocument/2006/relationships/hyperlink" Target="https://drive.google.com/file/d/1GY2MiMvJAeEA-MvAsFa9gYGMDjqKoJPo/view?usp=sharing" TargetMode="External"/><Relationship Id="rId690" Type="http://schemas.openxmlformats.org/officeDocument/2006/relationships/hyperlink" Target="https://drive.google.com/file/d/1cPG9FMwMUIeNIlKgPQIr_mD5ixOE_v2_/view?usp=sharing" TargetMode="External"/><Relationship Id="rId213" Type="http://schemas.openxmlformats.org/officeDocument/2006/relationships/hyperlink" Target="https://drive.google.com/file/d/0B9a5BtXYBva5Vnd0OEZFN3ZLM2s/view?usp=sharing" TargetMode="External"/><Relationship Id="rId334" Type="http://schemas.openxmlformats.org/officeDocument/2006/relationships/hyperlink" Target="https://drive.google.com/file/d/0B9a5BtXYBva5eGNLN0pTZ0xuaTA/view?usp=sharing" TargetMode="External"/><Relationship Id="rId455" Type="http://schemas.openxmlformats.org/officeDocument/2006/relationships/hyperlink" Target="https://drive.google.com/file/d/0B9a5BtXYBva5MXJBMWQ2QVlQQ2c/view?usp=sharing" TargetMode="External"/><Relationship Id="rId576" Type="http://schemas.openxmlformats.org/officeDocument/2006/relationships/hyperlink" Target="https://drive.google.com/a/uesc.br/file/d/0B9a5BtXYBva5WDVCY2NhS2xrdXM/view?usp=sharing" TargetMode="External"/><Relationship Id="rId697" Type="http://schemas.openxmlformats.org/officeDocument/2006/relationships/drawing" Target="../drawings/drawing2.xml"/><Relationship Id="rId212" Type="http://schemas.openxmlformats.org/officeDocument/2006/relationships/hyperlink" Target="https://drive.google.com/file/d/0B9a5BtXYBva5c05XZnpKNHdfaFU/view?usp=sharing" TargetMode="External"/><Relationship Id="rId333" Type="http://schemas.openxmlformats.org/officeDocument/2006/relationships/hyperlink" Target="https://drive.google.com/file/d/0B9a5BtXYBva5N2lwMXF4SVM0Uk0/view?usp=sharing" TargetMode="External"/><Relationship Id="rId454" Type="http://schemas.openxmlformats.org/officeDocument/2006/relationships/hyperlink" Target="https://drive.google.com/file/d/0B9a5BtXYBva5UjZ5aWNqOFJoMGc/view?usp=sharing" TargetMode="External"/><Relationship Id="rId575" Type="http://schemas.openxmlformats.org/officeDocument/2006/relationships/hyperlink" Target="https://drive.google.com/a/uesc.br/file/d/0B9a5BtXYBva5Zmw2cXNETktEZkk/view?usp=sharing" TargetMode="External"/><Relationship Id="rId696" Type="http://schemas.openxmlformats.org/officeDocument/2006/relationships/hyperlink" Target="https://drive.google.com/file/d/138gC16HTHfGOW8cc5L0Qj5pHWX_m9cgj/view?usp=sharing" TargetMode="External"/><Relationship Id="rId211" Type="http://schemas.openxmlformats.org/officeDocument/2006/relationships/hyperlink" Target="https://drive.google.com/file/d/0B9a5BtXYBva5cjd4YV9BMXcwYk0/view?usp=sharing" TargetMode="External"/><Relationship Id="rId332" Type="http://schemas.openxmlformats.org/officeDocument/2006/relationships/hyperlink" Target="https://drive.google.com/file/d/0B9a5BtXYBva5a0dvbU5FTFM2V3M/view?usp=sharing" TargetMode="External"/><Relationship Id="rId453" Type="http://schemas.openxmlformats.org/officeDocument/2006/relationships/hyperlink" Target="https://drive.google.com/file/d/0B9a5BtXYBva5X2JZX002eGJfekU/view?usp=sharing" TargetMode="External"/><Relationship Id="rId574" Type="http://schemas.openxmlformats.org/officeDocument/2006/relationships/hyperlink" Target="https://drive.google.com/a/uesc.br/file/d/0B9a5BtXYBva5ekw3a2lYYVRLQ1E/view?usp=sharing" TargetMode="External"/><Relationship Id="rId695" Type="http://schemas.openxmlformats.org/officeDocument/2006/relationships/hyperlink" Target="https://drive.google.com/file/d/1-508eTIvQIhKYFs5-ha0Dhb5K33j1i_M/view?usp=sharing" TargetMode="External"/><Relationship Id="rId210" Type="http://schemas.openxmlformats.org/officeDocument/2006/relationships/hyperlink" Target="https://drive.google.com/file/d/0B9a5BtXYBva5RUlNR0FtRWk2ZUE/view?usp=sharing" TargetMode="External"/><Relationship Id="rId331" Type="http://schemas.openxmlformats.org/officeDocument/2006/relationships/hyperlink" Target="https://drive.google.com/file/d/0B9a5BtXYBva5M0V0RHFlTzRkVG8/view?usp=sharing" TargetMode="External"/><Relationship Id="rId452" Type="http://schemas.openxmlformats.org/officeDocument/2006/relationships/hyperlink" Target="https://drive.google.com/file/d/0B9a5BtXYBva5Rlp3Rm9jbURJMFk/view?usp=sharing" TargetMode="External"/><Relationship Id="rId573" Type="http://schemas.openxmlformats.org/officeDocument/2006/relationships/hyperlink" Target="https://drive.google.com/a/uesc.br/file/d/0B9a5BtXYBva5bjViMHdrbVZkZ0U/view?usp=sharing" TargetMode="External"/><Relationship Id="rId694" Type="http://schemas.openxmlformats.org/officeDocument/2006/relationships/hyperlink" Target="https://drive.google.com/file/d/1UXbUt5Jc3s0ZIIH9o7hrgYmVo073uvC1/view?usp=sharing" TargetMode="External"/><Relationship Id="rId370" Type="http://schemas.openxmlformats.org/officeDocument/2006/relationships/hyperlink" Target="https://drive.google.com/file/d/0B9a5BtXYBva5Y3hGNUh0VGhDZVU/view?usp=sharing" TargetMode="External"/><Relationship Id="rId491" Type="http://schemas.openxmlformats.org/officeDocument/2006/relationships/hyperlink" Target="https://drive.google.com/file/d/0B9a5BtXYBva5WkRqZ1RCMXRDRmM/view?usp=sharing" TargetMode="External"/><Relationship Id="rId490" Type="http://schemas.openxmlformats.org/officeDocument/2006/relationships/hyperlink" Target="http://lattes.cnpq.br/7280162625236110" TargetMode="External"/><Relationship Id="rId129" Type="http://schemas.openxmlformats.org/officeDocument/2006/relationships/hyperlink" Target="https://drive.google.com/file/d/0B9a5BtXYBva5Z0FJdUdSOTNzeEk/view?usp=sharing" TargetMode="External"/><Relationship Id="rId128" Type="http://schemas.openxmlformats.org/officeDocument/2006/relationships/hyperlink" Target="https://drive.google.com/file/d/0B9a5BtXYBva5ZjNPd1RzNWdzVDA/view?usp=sharing" TargetMode="External"/><Relationship Id="rId249" Type="http://schemas.openxmlformats.org/officeDocument/2006/relationships/hyperlink" Target="https://drive.google.com/file/d/0B9a5BtXYBva5ZUNrd2FPZGpfTU0/view?usp=sharing" TargetMode="External"/><Relationship Id="rId127" Type="http://schemas.openxmlformats.org/officeDocument/2006/relationships/hyperlink" Target="https://drive.google.com/file/d/0B9a5BtXYBva5MEVsOHpvV1FjZEU/view?usp=sharing" TargetMode="External"/><Relationship Id="rId248" Type="http://schemas.openxmlformats.org/officeDocument/2006/relationships/hyperlink" Target="https://drive.google.com/file/d/0B9a5BtXYBva5X3B0WGNnZHRMOVU/view?usp=sharing" TargetMode="External"/><Relationship Id="rId369" Type="http://schemas.openxmlformats.org/officeDocument/2006/relationships/hyperlink" Target="https://drive.google.com/file/d/0B9a5BtXYBva5cHhkZ3JxV0RhOUU/view?usp=sharing" TargetMode="External"/><Relationship Id="rId126" Type="http://schemas.openxmlformats.org/officeDocument/2006/relationships/hyperlink" Target="https://drive.google.com/file/d/0B9a5BtXYBva5VkNEQnVwNTdMc1E/view?usp=sharing" TargetMode="External"/><Relationship Id="rId247" Type="http://schemas.openxmlformats.org/officeDocument/2006/relationships/hyperlink" Target="https://drive.google.com/file/d/0B9a5BtXYBva5NGQtTVQ4dHhwdVE/view?usp=sharing" TargetMode="External"/><Relationship Id="rId368" Type="http://schemas.openxmlformats.org/officeDocument/2006/relationships/hyperlink" Target="https://drive.google.com/file/d/0B9a5BtXYBva5U01LTzBYcXlLNXc/view?usp=sharing" TargetMode="External"/><Relationship Id="rId489" Type="http://schemas.openxmlformats.org/officeDocument/2006/relationships/hyperlink" Target="https://drive.google.com/file/d/0B9a5BtXYBva5M3pDbE9oZlRRUUU/view?usp=sharing" TargetMode="External"/><Relationship Id="rId121" Type="http://schemas.openxmlformats.org/officeDocument/2006/relationships/hyperlink" Target="https://drive.google.com/file/d/0B9a5BtXYBva5RThXcFpUMklzNUk/view?usp=sharing" TargetMode="External"/><Relationship Id="rId242" Type="http://schemas.openxmlformats.org/officeDocument/2006/relationships/hyperlink" Target="https://drive.google.com/file/d/0B9a5BtXYBva5d1FHYkZvUVRNYkk/view?usp=sharing" TargetMode="External"/><Relationship Id="rId363" Type="http://schemas.openxmlformats.org/officeDocument/2006/relationships/hyperlink" Target="https://drive.google.com/file/d/0B9a5BtXYBva5bU1JNEphSzFvQmM/view?usp=sharing" TargetMode="External"/><Relationship Id="rId484" Type="http://schemas.openxmlformats.org/officeDocument/2006/relationships/hyperlink" Target="https://drive.google.com/file/d/0B9a5BtXYBva5aXNIQVhvRW45S0k/view?usp=sharing" TargetMode="External"/><Relationship Id="rId120" Type="http://schemas.openxmlformats.org/officeDocument/2006/relationships/hyperlink" Target="https://drive.google.com/file/d/0B9a5BtXYBva5aTBsb0Q0OWRQQnM/view?usp=sharing" TargetMode="External"/><Relationship Id="rId241" Type="http://schemas.openxmlformats.org/officeDocument/2006/relationships/hyperlink" Target="https://drive.google.com/file/d/0B9a5BtXYBva5UHZEVF96cHh5RWs/view?usp=sharing" TargetMode="External"/><Relationship Id="rId362" Type="http://schemas.openxmlformats.org/officeDocument/2006/relationships/hyperlink" Target="https://drive.google.com/file/d/0B9a5BtXYBva5dGFQQ3lfdkJvUzA/view?usp=sharing" TargetMode="External"/><Relationship Id="rId483" Type="http://schemas.openxmlformats.org/officeDocument/2006/relationships/hyperlink" Target="https://drive.google.com/file/d/0B9a5BtXYBva5UmNHLWlTeWIxcFk/view?usp=sharing" TargetMode="External"/><Relationship Id="rId240" Type="http://schemas.openxmlformats.org/officeDocument/2006/relationships/hyperlink" Target="https://drive.google.com/file/d/0B9a5BtXYBva5Qzd0czdFdGM5blk/view?usp=sharing" TargetMode="External"/><Relationship Id="rId361" Type="http://schemas.openxmlformats.org/officeDocument/2006/relationships/hyperlink" Target="https://drive.google.com/file/d/0B9a5BtXYBva5b3U4RDVkMVQ1aDA/view?usp=sharing" TargetMode="External"/><Relationship Id="rId482" Type="http://schemas.openxmlformats.org/officeDocument/2006/relationships/hyperlink" Target="https://drive.google.com/file/d/0B9a5BtXYBva5dXpUemtVS1lMbWM/view?usp=sharing" TargetMode="External"/><Relationship Id="rId360" Type="http://schemas.openxmlformats.org/officeDocument/2006/relationships/hyperlink" Target="https://drive.google.com/file/d/0B9a5BtXYBva5TFhBTHAzc3hqQnc/view?usp=sharing" TargetMode="External"/><Relationship Id="rId481" Type="http://schemas.openxmlformats.org/officeDocument/2006/relationships/hyperlink" Target="https://drive.google.com/file/d/0B9a5BtXYBva5WmNjbFBoWXc3SFE/view?usp=sharing" TargetMode="External"/><Relationship Id="rId125" Type="http://schemas.openxmlformats.org/officeDocument/2006/relationships/hyperlink" Target="https://drive.google.com/file/d/0B9a5BtXYBva5ZDU0R3F2d0NKdUk/view?usp=sharing" TargetMode="External"/><Relationship Id="rId246" Type="http://schemas.openxmlformats.org/officeDocument/2006/relationships/hyperlink" Target="https://drive.google.com/file/d/0B9a5BtXYBva5VFVaSVQyYmx5X1k/view?usp=sharing" TargetMode="External"/><Relationship Id="rId367" Type="http://schemas.openxmlformats.org/officeDocument/2006/relationships/hyperlink" Target="https://drive.google.com/file/d/0B9a5BtXYBva5Q1ZHRXk4TzNrNDA/view?usp=sharing" TargetMode="External"/><Relationship Id="rId488" Type="http://schemas.openxmlformats.org/officeDocument/2006/relationships/hyperlink" Target="https://drive.google.com/file/d/0B9a5BtXYBva5V1U0ZGlVWWtxNTQ/view?usp=sharing" TargetMode="External"/><Relationship Id="rId124" Type="http://schemas.openxmlformats.org/officeDocument/2006/relationships/hyperlink" Target="https://drive.google.com/file/d/0B9a5BtXYBva5RUpTY0hWaFFDOVk/view?usp=sharing" TargetMode="External"/><Relationship Id="rId245" Type="http://schemas.openxmlformats.org/officeDocument/2006/relationships/hyperlink" Target="https://drive.google.com/file/d/0B9a5BtXYBva5QWJZbXJ2Uzh3a00/view?usp=sharing" TargetMode="External"/><Relationship Id="rId366" Type="http://schemas.openxmlformats.org/officeDocument/2006/relationships/hyperlink" Target="https://drive.google.com/file/d/0B9a5BtXYBva5WUhfRUUybWJfNm8/view?usp=sharing" TargetMode="External"/><Relationship Id="rId487" Type="http://schemas.openxmlformats.org/officeDocument/2006/relationships/hyperlink" Target="https://drive.google.com/file/d/0B9a5BtXYBva5cWdaaXAwa2RwX2M/view?usp=sharing" TargetMode="External"/><Relationship Id="rId123" Type="http://schemas.openxmlformats.org/officeDocument/2006/relationships/hyperlink" Target="https://drive.google.com/file/d/0B9a5BtXYBva5VjV2cHJxTEZtZGM/view?usp=sharing" TargetMode="External"/><Relationship Id="rId244" Type="http://schemas.openxmlformats.org/officeDocument/2006/relationships/hyperlink" Target="https://drive.google.com/file/d/0B9a5BtXYBva5dmNyMzM0VzIzdzQ/view?usp=sharing" TargetMode="External"/><Relationship Id="rId365" Type="http://schemas.openxmlformats.org/officeDocument/2006/relationships/hyperlink" Target="https://drive.google.com/file/d/0B9a5BtXYBva5anVFQ05yOFE2OUE/view?usp=sharing" TargetMode="External"/><Relationship Id="rId486" Type="http://schemas.openxmlformats.org/officeDocument/2006/relationships/hyperlink" Target="https://drive.google.com/file/d/0B9a5BtXYBva5RFpWV0pSUTBpQnc/view?usp=sharing" TargetMode="External"/><Relationship Id="rId122" Type="http://schemas.openxmlformats.org/officeDocument/2006/relationships/hyperlink" Target="https://drive.google.com/file/d/0B9a5BtXYBva5dUUtZkZ4RTBfTDQ/view?usp=sharing" TargetMode="External"/><Relationship Id="rId243" Type="http://schemas.openxmlformats.org/officeDocument/2006/relationships/hyperlink" Target="https://drive.google.com/file/d/0B9a5BtXYBva5Y1RHNE1WWEhQcXM/view?usp=sharing" TargetMode="External"/><Relationship Id="rId364" Type="http://schemas.openxmlformats.org/officeDocument/2006/relationships/hyperlink" Target="https://drive.google.com/file/d/0B9a5BtXYBva5NWQ5OHM3cXR5dWM/view?usp=sharing" TargetMode="External"/><Relationship Id="rId485" Type="http://schemas.openxmlformats.org/officeDocument/2006/relationships/hyperlink" Target="https://drive.google.com/file/d/0B9a5BtXYBva5NC1PX2l3UXVYdDg/view?usp=sharing" TargetMode="External"/><Relationship Id="rId95" Type="http://schemas.openxmlformats.org/officeDocument/2006/relationships/hyperlink" Target="https://drive.google.com/file/d/0B9a5BtXYBva5TWpFWl9nbVREbkE/view?usp=sharing" TargetMode="External"/><Relationship Id="rId94" Type="http://schemas.openxmlformats.org/officeDocument/2006/relationships/hyperlink" Target="https://drive.google.com/file/d/0B9a5BtXYBva5NkpxTEVaMHFTQTg/view?usp=sharing" TargetMode="External"/><Relationship Id="rId97" Type="http://schemas.openxmlformats.org/officeDocument/2006/relationships/hyperlink" Target="https://drive.google.com/file/d/0B9a5BtXYBva5b2J5dEpNV1loUXc/view?usp=sharing" TargetMode="External"/><Relationship Id="rId96" Type="http://schemas.openxmlformats.org/officeDocument/2006/relationships/hyperlink" Target="https://drive.google.com/file/d/0B9a5BtXYBva5T2RidG9oTDl2UHM/view?usp=sharing" TargetMode="External"/><Relationship Id="rId99" Type="http://schemas.openxmlformats.org/officeDocument/2006/relationships/hyperlink" Target="https://drive.google.com/file/d/0B9a5BtXYBva5YWpFR2ltUmlUUnM/view?usp=sharing" TargetMode="External"/><Relationship Id="rId480" Type="http://schemas.openxmlformats.org/officeDocument/2006/relationships/hyperlink" Target="https://drive.google.com/file/d/0B9a5BtXYBva5NUtqN09hQ3R4dnc/view?usp=sharing" TargetMode="External"/><Relationship Id="rId98" Type="http://schemas.openxmlformats.org/officeDocument/2006/relationships/hyperlink" Target="https://drive.google.com/file/d/0B9a5BtXYBva5eTdGdWpJUTlGNjg/view?usp=sharing" TargetMode="External"/><Relationship Id="rId91" Type="http://schemas.openxmlformats.org/officeDocument/2006/relationships/hyperlink" Target="https://drive.google.com/file/d/0B9a5BtXYBva5OUVBREUtLTBfaTA/view?usp=sharing" TargetMode="External"/><Relationship Id="rId90" Type="http://schemas.openxmlformats.org/officeDocument/2006/relationships/hyperlink" Target="https://drive.google.com/file/d/0B9a5BtXYBva5bjhOTEI4QzB5MW8/view?usp=sharing" TargetMode="External"/><Relationship Id="rId93" Type="http://schemas.openxmlformats.org/officeDocument/2006/relationships/hyperlink" Target="https://drive.google.com/file/d/0B9a5BtXYBva5ZGU0b0xJMmJ4emM/view?usp=sharing" TargetMode="External"/><Relationship Id="rId92" Type="http://schemas.openxmlformats.org/officeDocument/2006/relationships/hyperlink" Target="https://drive.google.com/file/d/0B9a5BtXYBva5NzRfRGNLaFdoZjg/view?usp=sharing" TargetMode="External"/><Relationship Id="rId118" Type="http://schemas.openxmlformats.org/officeDocument/2006/relationships/hyperlink" Target="https://drive.google.com/file/d/0B9a5BtXYBva5ZjJsZ0ZleFhuakk/view?usp=sharing" TargetMode="External"/><Relationship Id="rId239" Type="http://schemas.openxmlformats.org/officeDocument/2006/relationships/hyperlink" Target="https://drive.google.com/file/d/0B9a5BtXYBva5WUNpTXRtcmpKckE/view?usp=sharing" TargetMode="External"/><Relationship Id="rId117" Type="http://schemas.openxmlformats.org/officeDocument/2006/relationships/hyperlink" Target="https://drive.google.com/file/d/0B9a5BtXYBva5S2NNQkExMEFpQTg/view?usp=sharing" TargetMode="External"/><Relationship Id="rId238" Type="http://schemas.openxmlformats.org/officeDocument/2006/relationships/hyperlink" Target="https://drive.google.com/file/d/0B9a5BtXYBva5NnJHa0JrdTUyVzQ/view?usp=sharing" TargetMode="External"/><Relationship Id="rId359" Type="http://schemas.openxmlformats.org/officeDocument/2006/relationships/hyperlink" Target="https://drive.google.com/file/d/0B9a5BtXYBva5ZGo4SU5WNHlvUUk/view?usp=sharing" TargetMode="External"/><Relationship Id="rId116" Type="http://schemas.openxmlformats.org/officeDocument/2006/relationships/hyperlink" Target="https://drive.google.com/file/d/0B9a5BtXYBva5WUdRNjNKR3l5c00/view?usp=sharing" TargetMode="External"/><Relationship Id="rId237" Type="http://schemas.openxmlformats.org/officeDocument/2006/relationships/hyperlink" Target="https://drive.google.com/file/d/0B9a5BtXYBva5VDBCcTFXS2Nzdkk/view?usp=sharing" TargetMode="External"/><Relationship Id="rId358" Type="http://schemas.openxmlformats.org/officeDocument/2006/relationships/hyperlink" Target="https://drive.google.com/file/d/0B9a5BtXYBva5alE3OFJCT2d1c2c/view?usp=sharing" TargetMode="External"/><Relationship Id="rId479" Type="http://schemas.openxmlformats.org/officeDocument/2006/relationships/hyperlink" Target="https://drive.google.com/file/d/0B9a5BtXYBva5LVFZYVRuR2Jta2c/view?usp=sharing" TargetMode="External"/><Relationship Id="rId115" Type="http://schemas.openxmlformats.org/officeDocument/2006/relationships/hyperlink" Target="https://drive.google.com/file/d/0B9a5BtXYBva5YzhLRDlua3lvUms/view?usp=sharing" TargetMode="External"/><Relationship Id="rId236" Type="http://schemas.openxmlformats.org/officeDocument/2006/relationships/hyperlink" Target="https://drive.google.com/file/d/0B9a5BtXYBva5QVhpOXJGVVFBVHc/view?usp=sharing" TargetMode="External"/><Relationship Id="rId357" Type="http://schemas.openxmlformats.org/officeDocument/2006/relationships/hyperlink" Target="https://drive.google.com/file/d/0B9a5BtXYBva5VjVUTG5JaTRRNlk/view?usp=sharing" TargetMode="External"/><Relationship Id="rId478" Type="http://schemas.openxmlformats.org/officeDocument/2006/relationships/hyperlink" Target="https://drive.google.com/file/d/0B9a5BtXYBva5OG1TMnZKWXJFNm8/view?usp=sharing" TargetMode="External"/><Relationship Id="rId599" Type="http://schemas.openxmlformats.org/officeDocument/2006/relationships/hyperlink" Target="https://drive.google.com/a/uesc.br/file/d/0B9a5BtXYBva5SGNpWXJELTFhb1U/view?usp=sharing" TargetMode="External"/><Relationship Id="rId119" Type="http://schemas.openxmlformats.org/officeDocument/2006/relationships/hyperlink" Target="https://drive.google.com/file/d/0B9a5BtXYBva5ZW5wcE9mYWVsa1k/view?usp=sharing" TargetMode="External"/><Relationship Id="rId110" Type="http://schemas.openxmlformats.org/officeDocument/2006/relationships/hyperlink" Target="https://drive.google.com/file/d/0B9a5BtXYBva5RnBoSlN2Y1ZWbTQ/view?usp=sharing" TargetMode="External"/><Relationship Id="rId231" Type="http://schemas.openxmlformats.org/officeDocument/2006/relationships/hyperlink" Target="https://drive.google.com/file/d/0B9a5BtXYBva5SGlMdnFlMGI0VGM/view?usp=sharing" TargetMode="External"/><Relationship Id="rId352" Type="http://schemas.openxmlformats.org/officeDocument/2006/relationships/hyperlink" Target="https://drive.google.com/file/d/0B9a5BtXYBva5NmJEbHVsTV9zN1k/view?usp=sharing" TargetMode="External"/><Relationship Id="rId473" Type="http://schemas.openxmlformats.org/officeDocument/2006/relationships/hyperlink" Target="https://drive.google.com/file/d/0B9a5BtXYBva5RzJZSnhxek9IWjQ/view?usp=sharing" TargetMode="External"/><Relationship Id="rId594" Type="http://schemas.openxmlformats.org/officeDocument/2006/relationships/hyperlink" Target="https://drive.google.com/a/uesc.br/file/d/0B9a5BtXYBva5emF3Nm1saWhMdXc/view?usp=sharing" TargetMode="External"/><Relationship Id="rId230" Type="http://schemas.openxmlformats.org/officeDocument/2006/relationships/hyperlink" Target="https://drive.google.com/file/d/0B9a5BtXYBva5d0VOY0p2bjk2UzQ/view?usp=sharing" TargetMode="External"/><Relationship Id="rId351" Type="http://schemas.openxmlformats.org/officeDocument/2006/relationships/hyperlink" Target="https://drive.google.com/file/d/0B9a5BtXYBva5Z2M4Yks0UGs4Zms/view?usp=sharing" TargetMode="External"/><Relationship Id="rId472" Type="http://schemas.openxmlformats.org/officeDocument/2006/relationships/hyperlink" Target="https://drive.google.com/file/d/0B9a5BtXYBva5MWVSZlF0dGh6UmM/view?usp=sharing" TargetMode="External"/><Relationship Id="rId593" Type="http://schemas.openxmlformats.org/officeDocument/2006/relationships/hyperlink" Target="https://drive.google.com/a/uesc.br/file/d/0B9a5BtXYBva5TFdWcjBzeEZ0T1U/view?usp=sharing" TargetMode="External"/><Relationship Id="rId350" Type="http://schemas.openxmlformats.org/officeDocument/2006/relationships/hyperlink" Target="https://drive.google.com/file/d/0B9a5BtXYBva5TDFodHdidEVheUk/view?usp=sharing" TargetMode="External"/><Relationship Id="rId471" Type="http://schemas.openxmlformats.org/officeDocument/2006/relationships/hyperlink" Target="https://drive.google.com/file/d/0B9a5BtXYBva5WmExQTZpdVRhR00/view?usp=sharing" TargetMode="External"/><Relationship Id="rId592" Type="http://schemas.openxmlformats.org/officeDocument/2006/relationships/hyperlink" Target="https://drive.google.com/a/uesc.br/file/d/0B9a5BtXYBva5MFVzNTliT1RLRWs/view?usp=sharing" TargetMode="External"/><Relationship Id="rId470" Type="http://schemas.openxmlformats.org/officeDocument/2006/relationships/hyperlink" Target="https://drive.google.com/file/d/0B9a5BtXYBva5WGtEOW1YeFFlNEU/view?usp=sharing" TargetMode="External"/><Relationship Id="rId591" Type="http://schemas.openxmlformats.org/officeDocument/2006/relationships/hyperlink" Target="https://drive.google.com/a/uesc.br/file/d/0B9a5BtXYBva5YWx6ZmlPaW13S3M/view?usp=sharing" TargetMode="External"/><Relationship Id="rId114" Type="http://schemas.openxmlformats.org/officeDocument/2006/relationships/hyperlink" Target="https://drive.google.com/file/d/0B9a5BtXYBva5Wm90RG84YmRSd3M/view?usp=sharing" TargetMode="External"/><Relationship Id="rId235" Type="http://schemas.openxmlformats.org/officeDocument/2006/relationships/hyperlink" Target="https://drive.google.com/file/d/0B9a5BtXYBva5Tjg1NFA3a1p5M2M/view?usp=sharing" TargetMode="External"/><Relationship Id="rId356" Type="http://schemas.openxmlformats.org/officeDocument/2006/relationships/hyperlink" Target="https://drive.google.com/file/d/0B9a5BtXYBva5dUJaak9RVVBMLVE/view?usp=sharing" TargetMode="External"/><Relationship Id="rId477" Type="http://schemas.openxmlformats.org/officeDocument/2006/relationships/hyperlink" Target="https://drive.google.com/file/d/0B9a5BtXYBva5b1ppXzI3NzZzN3c/view?usp=sharing" TargetMode="External"/><Relationship Id="rId598" Type="http://schemas.openxmlformats.org/officeDocument/2006/relationships/hyperlink" Target="https://drive.google.com/a/uesc.br/file/d/0B9a5BtXYBva5SzdidTlFNjV3TDQ/view?usp=sharing" TargetMode="External"/><Relationship Id="rId113" Type="http://schemas.openxmlformats.org/officeDocument/2006/relationships/hyperlink" Target="https://drive.google.com/file/d/0B9a5BtXYBva5TVpwa3BSMXVnQW8/view?usp=sharing" TargetMode="External"/><Relationship Id="rId234" Type="http://schemas.openxmlformats.org/officeDocument/2006/relationships/hyperlink" Target="https://drive.google.com/file/d/0B9a5BtXYBva5RFp2aHFINWlBZ2s/view?usp=sharing" TargetMode="External"/><Relationship Id="rId355" Type="http://schemas.openxmlformats.org/officeDocument/2006/relationships/hyperlink" Target="https://drive.google.com/file/d/0B9a5BtXYBva5c0JtQ3A0akROcEE/view?usp=sharing" TargetMode="External"/><Relationship Id="rId476" Type="http://schemas.openxmlformats.org/officeDocument/2006/relationships/hyperlink" Target="https://drive.google.com/file/d/0B9a5BtXYBva5U3R1R2E5cV9ha2M/view?usp=sharing" TargetMode="External"/><Relationship Id="rId597" Type="http://schemas.openxmlformats.org/officeDocument/2006/relationships/hyperlink" Target="https://drive.google.com/a/uesc.br/file/d/0B9a5BtXYBva5eC1OZjdjSXgwN1U/view?usp=sharing" TargetMode="External"/><Relationship Id="rId112" Type="http://schemas.openxmlformats.org/officeDocument/2006/relationships/hyperlink" Target="https://drive.google.com/file/d/0B9a5BtXYBva5WjhsTkNodGUyQ2M/view?usp=sharing" TargetMode="External"/><Relationship Id="rId233" Type="http://schemas.openxmlformats.org/officeDocument/2006/relationships/hyperlink" Target="https://drive.google.com/file/d/0B9a5BtXYBva5cEpIZ2lMdkJBb1U/view?usp=sharing" TargetMode="External"/><Relationship Id="rId354" Type="http://schemas.openxmlformats.org/officeDocument/2006/relationships/hyperlink" Target="https://drive.google.com/file/d/0B9a5BtXYBva5ekJNekxrTkZqb2c/view?usp=sharing" TargetMode="External"/><Relationship Id="rId475" Type="http://schemas.openxmlformats.org/officeDocument/2006/relationships/hyperlink" Target="https://drive.google.com/file/d/0B9a5BtXYBva5cDlyaXVxUG9oM3M/view?usp=sharing" TargetMode="External"/><Relationship Id="rId596" Type="http://schemas.openxmlformats.org/officeDocument/2006/relationships/hyperlink" Target="https://drive.google.com/a/uesc.br/file/d/0B_wpeeyIMyLdcnJzcmRoQXBGRUE/view?usp=sharing" TargetMode="External"/><Relationship Id="rId111" Type="http://schemas.openxmlformats.org/officeDocument/2006/relationships/hyperlink" Target="https://drive.google.com/file/d/0B9a5BtXYBva5dElucDVpRW5BS1E/view?usp=sharing" TargetMode="External"/><Relationship Id="rId232" Type="http://schemas.openxmlformats.org/officeDocument/2006/relationships/hyperlink" Target="https://drive.google.com/file/d/0B9a5BtXYBva5NGpqUkZGZWtxc0U/view?usp=sharing" TargetMode="External"/><Relationship Id="rId353" Type="http://schemas.openxmlformats.org/officeDocument/2006/relationships/hyperlink" Target="https://drive.google.com/file/d/0B9a5BtXYBva5ZW1ULWwzVElvaVU/view?usp=sharing" TargetMode="External"/><Relationship Id="rId474" Type="http://schemas.openxmlformats.org/officeDocument/2006/relationships/hyperlink" Target="https://drive.google.com/file/d/0B9a5BtXYBva5ZVBBdVluRDhtdzQ/view?usp=sharing" TargetMode="External"/><Relationship Id="rId595" Type="http://schemas.openxmlformats.org/officeDocument/2006/relationships/hyperlink" Target="https://drive.google.com/a/uesc.br/file/d/0B9a5BtXYBva5RDE0WmpwcVlDc1E/view?usp=sharing" TargetMode="External"/><Relationship Id="rId305" Type="http://schemas.openxmlformats.org/officeDocument/2006/relationships/hyperlink" Target="https://drive.google.com/file/d/0B9a5BtXYBva5YkNJTnVVeUtPMnc/view?usp=sharing" TargetMode="External"/><Relationship Id="rId426" Type="http://schemas.openxmlformats.org/officeDocument/2006/relationships/hyperlink" Target="https://drive.google.com/file/d/0B9a5BtXYBva5YTE4TEQ1SnAtU1k/view?usp=sharing" TargetMode="External"/><Relationship Id="rId547" Type="http://schemas.openxmlformats.org/officeDocument/2006/relationships/hyperlink" Target="https://drive.google.com/file/d/0B9a5BtXYBva5UUJtY245SHgxb1E/view?usp=sharing" TargetMode="External"/><Relationship Id="rId668" Type="http://schemas.openxmlformats.org/officeDocument/2006/relationships/hyperlink" Target="https://drive.google.com/file/d/1ogtFL9Kb7_avPd1KAcfXT3DJdcEe0u5H/view?usp=sharing" TargetMode="External"/><Relationship Id="rId304" Type="http://schemas.openxmlformats.org/officeDocument/2006/relationships/hyperlink" Target="https://drive.google.com/file/d/0B9a5BtXYBva5eFBac2ZXSUFWdGM/view?usp=sharing" TargetMode="External"/><Relationship Id="rId425" Type="http://schemas.openxmlformats.org/officeDocument/2006/relationships/hyperlink" Target="https://drive.google.com/file/d/0B9a5BtXYBva5akJkMWdNZDBKaU0/view?usp=sharing" TargetMode="External"/><Relationship Id="rId546" Type="http://schemas.openxmlformats.org/officeDocument/2006/relationships/hyperlink" Target="https://drive.google.com/file/d/0B9a5BtXYBva5UmNVVFJNdWRreVE/view?usp=sharing" TargetMode="External"/><Relationship Id="rId667" Type="http://schemas.openxmlformats.org/officeDocument/2006/relationships/hyperlink" Target="https://drive.google.com/file/d/1k3oo30a3NuPMRYmJDrnusXeklV9j8L_8/view?usp=sharing" TargetMode="External"/><Relationship Id="rId303" Type="http://schemas.openxmlformats.org/officeDocument/2006/relationships/hyperlink" Target="https://drive.google.com/file/d/0B9a5BtXYBva5WnExY3psMmw1ZVU/view?usp=sharing" TargetMode="External"/><Relationship Id="rId424" Type="http://schemas.openxmlformats.org/officeDocument/2006/relationships/hyperlink" Target="https://drive.google.com/file/d/0B9a5BtXYBva5anpyNjJlRERJNFE/view?usp=sharing" TargetMode="External"/><Relationship Id="rId545" Type="http://schemas.openxmlformats.org/officeDocument/2006/relationships/hyperlink" Target="https://drive.google.com/file/d/0B9a5BtXYBva5S3dyUGdWTElLemM/view?usp=sharing" TargetMode="External"/><Relationship Id="rId666" Type="http://schemas.openxmlformats.org/officeDocument/2006/relationships/hyperlink" Target="https://drive.google.com/file/d/1u3qx1eDmJd1rtSzuENWU-aMWcCE7fzOs/view?usp=sharing" TargetMode="External"/><Relationship Id="rId302" Type="http://schemas.openxmlformats.org/officeDocument/2006/relationships/hyperlink" Target="https://drive.google.com/file/d/0B9a5BtXYBva5MVhwRkZYYlU5Vlk/view?usp=sharing" TargetMode="External"/><Relationship Id="rId423" Type="http://schemas.openxmlformats.org/officeDocument/2006/relationships/hyperlink" Target="https://drive.google.com/file/d/0B9a5BtXYBva5a3U5YVJ5OXZ4R2s/view?usp=sharing" TargetMode="External"/><Relationship Id="rId544" Type="http://schemas.openxmlformats.org/officeDocument/2006/relationships/hyperlink" Target="https://drive.google.com/file/d/0B9a5BtXYBva5ekdLeThWVWoyRFk/view?usp=sharing" TargetMode="External"/><Relationship Id="rId665" Type="http://schemas.openxmlformats.org/officeDocument/2006/relationships/hyperlink" Target="https://drive.google.com/file/d/1M3ePS3i5vLv_aaXV3vXtSXZ-wSB2lnJO/view?usp=sharing" TargetMode="External"/><Relationship Id="rId309" Type="http://schemas.openxmlformats.org/officeDocument/2006/relationships/hyperlink" Target="https://drive.google.com/file/d/0B9a5BtXYBva5d1YwOFdtOXY1dHM/view?usp=sharing" TargetMode="External"/><Relationship Id="rId308" Type="http://schemas.openxmlformats.org/officeDocument/2006/relationships/hyperlink" Target="https://drive.google.com/file/d/0B9a5BtXYBva5b29HOHBQSGd1TGs/view?usp=sharing" TargetMode="External"/><Relationship Id="rId429" Type="http://schemas.openxmlformats.org/officeDocument/2006/relationships/hyperlink" Target="https://drive.google.com/file/d/0B9a5BtXYBva5UDV4TGgzYTdTcTg/view?usp=sharing" TargetMode="External"/><Relationship Id="rId307" Type="http://schemas.openxmlformats.org/officeDocument/2006/relationships/hyperlink" Target="https://drive.google.com/file/d/0B9a5BtXYBva5Uk9zUWUzaDZQOVk/view?usp=sharing" TargetMode="External"/><Relationship Id="rId428" Type="http://schemas.openxmlformats.org/officeDocument/2006/relationships/hyperlink" Target="https://drive.google.com/file/d/0B9a5BtXYBva5WjJpVG04cThQUUU/view?usp=sharing" TargetMode="External"/><Relationship Id="rId549" Type="http://schemas.openxmlformats.org/officeDocument/2006/relationships/hyperlink" Target="https://drive.google.com/file/d/0B9a5BtXYBva5UVFmRGdMd2k4VUE/view?usp=sharing" TargetMode="External"/><Relationship Id="rId306" Type="http://schemas.openxmlformats.org/officeDocument/2006/relationships/hyperlink" Target="https://drive.google.com/file/d/0B9a5BtXYBva5Y2JWSnByaW1Cd3c/view?usp=sharing" TargetMode="External"/><Relationship Id="rId427" Type="http://schemas.openxmlformats.org/officeDocument/2006/relationships/hyperlink" Target="https://drive.google.com/file/d/0B9a5BtXYBva5MUdRcUszV01DY1k/view?usp=sharing" TargetMode="External"/><Relationship Id="rId548" Type="http://schemas.openxmlformats.org/officeDocument/2006/relationships/hyperlink" Target="https://drive.google.com/file/d/0B9a5BtXYBva5RHpMcEFqcll3Ymc/view?usp=sharing" TargetMode="External"/><Relationship Id="rId669" Type="http://schemas.openxmlformats.org/officeDocument/2006/relationships/hyperlink" Target="https://drive.google.com/file/d/190VAeJmazRCXIiLf8by35WzOJABEGMtU/view?usp=sharing" TargetMode="External"/><Relationship Id="rId660" Type="http://schemas.openxmlformats.org/officeDocument/2006/relationships/hyperlink" Target="https://drive.google.com/file/d/1F9sKZuJAK5iKu2rra5I-lgyouybBHqSF/view?usp=sharing" TargetMode="External"/><Relationship Id="rId301" Type="http://schemas.openxmlformats.org/officeDocument/2006/relationships/hyperlink" Target="https://drive.google.com/file/d/0B9a5BtXYBva5V3Z3cG5IVmp1MXM/view?usp=sharing" TargetMode="External"/><Relationship Id="rId422" Type="http://schemas.openxmlformats.org/officeDocument/2006/relationships/hyperlink" Target="https://drive.google.com/file/d/0B9a5BtXYBva5QXhrRU4zUWlRdms/view?usp=sharing" TargetMode="External"/><Relationship Id="rId543" Type="http://schemas.openxmlformats.org/officeDocument/2006/relationships/hyperlink" Target="https://drive.google.com/file/d/0B9a5BtXYBva5RlRINGU0RU4xRU0/view?usp=sharing" TargetMode="External"/><Relationship Id="rId664" Type="http://schemas.openxmlformats.org/officeDocument/2006/relationships/hyperlink" Target="https://drive.google.com/file/d/1MdqsD1sPYhmW1bEvtHkSPHd4-nJ2nyVi/view?usp=sharing" TargetMode="External"/><Relationship Id="rId300" Type="http://schemas.openxmlformats.org/officeDocument/2006/relationships/hyperlink" Target="https://drive.google.com/file/d/0B9a5BtXYBva5WGJhaDJYanlmNWs/view?usp=sharing" TargetMode="External"/><Relationship Id="rId421" Type="http://schemas.openxmlformats.org/officeDocument/2006/relationships/hyperlink" Target="https://drive.google.com/file/d/0B9a5BtXYBva5R1pIN2VUV0t2WjQ/view?usp=sharing" TargetMode="External"/><Relationship Id="rId542" Type="http://schemas.openxmlformats.org/officeDocument/2006/relationships/hyperlink" Target="https://drive.google.com/file/d/0B9a5BtXYBva5dHRRTHZ6VDF1ZzA/view?usp=sharing" TargetMode="External"/><Relationship Id="rId663" Type="http://schemas.openxmlformats.org/officeDocument/2006/relationships/hyperlink" Target="https://drive.google.com/file/d/1BBtcvI14x4sI8QyrHDgXpVZznVTP9Dss/view?usp=sharing" TargetMode="External"/><Relationship Id="rId420" Type="http://schemas.openxmlformats.org/officeDocument/2006/relationships/hyperlink" Target="https://drive.google.com/file/d/0B9a5BtXYBva5N2pMdjRNMV9qS0k/view?usp=sharing" TargetMode="External"/><Relationship Id="rId541" Type="http://schemas.openxmlformats.org/officeDocument/2006/relationships/hyperlink" Target="https://drive.google.com/file/d/0B9a5BtXYBva5SFdIaFBzaEJxS2M/view?usp=sharing" TargetMode="External"/><Relationship Id="rId662" Type="http://schemas.openxmlformats.org/officeDocument/2006/relationships/hyperlink" Target="https://drive.google.com/file/d/1Udi1UJYKDzJMqRrinEZ8z9b9n-K7FHA7/view?usp=sharing" TargetMode="External"/><Relationship Id="rId540" Type="http://schemas.openxmlformats.org/officeDocument/2006/relationships/hyperlink" Target="https://drive.google.com/file/d/0B9a5BtXYBva5QUs3dUZfYWxxSHM/view?usp=sharing" TargetMode="External"/><Relationship Id="rId661" Type="http://schemas.openxmlformats.org/officeDocument/2006/relationships/hyperlink" Target="https://drive.google.com/file/d/1nAbh6F50o3lcuh2YfylBfwVZVfyBvckT/view?usp=sharing" TargetMode="External"/><Relationship Id="rId415" Type="http://schemas.openxmlformats.org/officeDocument/2006/relationships/hyperlink" Target="https://drive.google.com/file/d/0B9a5BtXYBva5QWUyWTRSdnZhR0E/view?usp=sharing" TargetMode="External"/><Relationship Id="rId536" Type="http://schemas.openxmlformats.org/officeDocument/2006/relationships/hyperlink" Target="https://drive.google.com/file/d/0B9a5BtXYBva5WHhMd09VQ3JXQXc/view?usp=sharing" TargetMode="External"/><Relationship Id="rId657" Type="http://schemas.openxmlformats.org/officeDocument/2006/relationships/hyperlink" Target="https://drive.google.com/file/d/134HrxvhHq17mYWuirlpVLlSQaQQZhMww/view?usp=sharing" TargetMode="External"/><Relationship Id="rId414" Type="http://schemas.openxmlformats.org/officeDocument/2006/relationships/hyperlink" Target="https://drive.google.com/file/d/0B9a5BtXYBva5YW53OUZPOU5VTnc/view?usp=sharing" TargetMode="External"/><Relationship Id="rId535" Type="http://schemas.openxmlformats.org/officeDocument/2006/relationships/hyperlink" Target="https://drive.google.com/file/d/0B9a5BtXYBva5c2NYLVV4LTZVbUk/view?usp=sharing" TargetMode="External"/><Relationship Id="rId656" Type="http://schemas.openxmlformats.org/officeDocument/2006/relationships/hyperlink" Target="https://drive.google.com/file/d/1uOUK00Wh00v8NdqFuWln3QpOdXmfAlK-/view?usp=sharing" TargetMode="External"/><Relationship Id="rId413" Type="http://schemas.openxmlformats.org/officeDocument/2006/relationships/hyperlink" Target="https://drive.google.com/file/d/0B9a5BtXYBva5NTM3OEVOM09QLWc/view?usp=sharing" TargetMode="External"/><Relationship Id="rId534" Type="http://schemas.openxmlformats.org/officeDocument/2006/relationships/hyperlink" Target="https://drive.google.com/file/d/0B9a5BtXYBva5S1U2NU9mWnFYUlU/view?usp=sharing" TargetMode="External"/><Relationship Id="rId655" Type="http://schemas.openxmlformats.org/officeDocument/2006/relationships/hyperlink" Target="https://drive.google.com/file/d/1fLlxxxTHT2_271ARrH41tCezGAEPdDSi/view?usp=sharing" TargetMode="External"/><Relationship Id="rId412" Type="http://schemas.openxmlformats.org/officeDocument/2006/relationships/hyperlink" Target="https://drive.google.com/file/d/0B9a5BtXYBva5V0V6TkFzZnJXRk0/view?usp=sharing" TargetMode="External"/><Relationship Id="rId533" Type="http://schemas.openxmlformats.org/officeDocument/2006/relationships/hyperlink" Target="https://drive.google.com/file/d/0B9a5BtXYBva5R3JzaTcxUGY3Q00/view?usp=sharing" TargetMode="External"/><Relationship Id="rId654" Type="http://schemas.openxmlformats.org/officeDocument/2006/relationships/hyperlink" Target="https://drive.google.com/file/d/1kAxJ_PTHBMihB8vtnVt--lyyOfLxRVuK/view?usp=sharing" TargetMode="External"/><Relationship Id="rId419" Type="http://schemas.openxmlformats.org/officeDocument/2006/relationships/hyperlink" Target="https://drive.google.com/file/d/0B9a5BtXYBva5d19HcGY0LVJRQnc/view?usp=sharing" TargetMode="External"/><Relationship Id="rId418" Type="http://schemas.openxmlformats.org/officeDocument/2006/relationships/hyperlink" Target="https://drive.google.com/file/d/0B9a5BtXYBva5QjhuTlRNVGw5Z3M/view?usp=sharing" TargetMode="External"/><Relationship Id="rId539" Type="http://schemas.openxmlformats.org/officeDocument/2006/relationships/hyperlink" Target="https://drive.google.com/file/d/0B9a5BtXYBva5YmNJQWZ4SDFwbjQ/view?usp=sharing" TargetMode="External"/><Relationship Id="rId417" Type="http://schemas.openxmlformats.org/officeDocument/2006/relationships/hyperlink" Target="https://drive.google.com/file/d/0B9a5BtXYBva5STFyelZzUzZITWc/view?usp=sharing" TargetMode="External"/><Relationship Id="rId538" Type="http://schemas.openxmlformats.org/officeDocument/2006/relationships/hyperlink" Target="https://drive.google.com/file/d/0B9a5BtXYBva5czZQNnNCVk5Hdmc/view?usp=sharing" TargetMode="External"/><Relationship Id="rId659" Type="http://schemas.openxmlformats.org/officeDocument/2006/relationships/hyperlink" Target="https://drive.google.com/file/d/1WKQlQfQkE0kCTb7nKGXgsVxFg699qgUP/view?usp=sharing" TargetMode="External"/><Relationship Id="rId416" Type="http://schemas.openxmlformats.org/officeDocument/2006/relationships/hyperlink" Target="https://drive.google.com/file/d/0B9a5BtXYBva5ZHM3NmNadS1IX3M/view?usp=sharing" TargetMode="External"/><Relationship Id="rId537" Type="http://schemas.openxmlformats.org/officeDocument/2006/relationships/hyperlink" Target="https://drive.google.com/file/d/0B9a5BtXYBva5UFVKSnhBcnlSbzg/view?usp=sharing" TargetMode="External"/><Relationship Id="rId658" Type="http://schemas.openxmlformats.org/officeDocument/2006/relationships/hyperlink" Target="https://drive.google.com/file/d/1ho5D-3HV046J3Yegyqw7J-qyplPALwG-/view?usp=sharing" TargetMode="External"/><Relationship Id="rId411" Type="http://schemas.openxmlformats.org/officeDocument/2006/relationships/hyperlink" Target="https://drive.google.com/file/d/0B9a5BtXYBva5UFNyMk1sd2hfbjA/view?usp=sharing" TargetMode="External"/><Relationship Id="rId532" Type="http://schemas.openxmlformats.org/officeDocument/2006/relationships/hyperlink" Target="https://drive.google.com/file/d/0B9a5BtXYBva5bk5TMEktcnZjNzQ/view?usp=sharing" TargetMode="External"/><Relationship Id="rId653" Type="http://schemas.openxmlformats.org/officeDocument/2006/relationships/hyperlink" Target="https://drive.google.com/file/d/1r-yxBrI0sY4Il9fLYrTyVKE6Wjz6QA_n/view?usp=sharing" TargetMode="External"/><Relationship Id="rId410" Type="http://schemas.openxmlformats.org/officeDocument/2006/relationships/hyperlink" Target="https://drive.google.com/file/d/0B9a5BtXYBva5NFhXODdkYlZYR3c/view?usp=sharing" TargetMode="External"/><Relationship Id="rId531" Type="http://schemas.openxmlformats.org/officeDocument/2006/relationships/hyperlink" Target="https://drive.google.com/file/d/0B9a5BtXYBva5UDVMQUJhWWU5X3c/view?usp=sharing" TargetMode="External"/><Relationship Id="rId652" Type="http://schemas.openxmlformats.org/officeDocument/2006/relationships/hyperlink" Target="https://drive.google.com/file/d/1nmXsxSSYS2JDgELnon3VjiJcqyHKSNUP/view?usp=sharing" TargetMode="External"/><Relationship Id="rId530" Type="http://schemas.openxmlformats.org/officeDocument/2006/relationships/hyperlink" Target="https://drive.google.com/file/d/0B9a5BtXYBva5Um8wZUw5OFY0RU0/view?usp=sharing" TargetMode="External"/><Relationship Id="rId651" Type="http://schemas.openxmlformats.org/officeDocument/2006/relationships/hyperlink" Target="https://drive.google.com/file/d/1CObyn6tvCXOp-m2qceHPq-ysKdwDJkhM/view?usp=sharing" TargetMode="External"/><Relationship Id="rId650" Type="http://schemas.openxmlformats.org/officeDocument/2006/relationships/hyperlink" Target="https://drive.google.com/file/d/1k7Ya3mdLNQu6aaiZbY5uRzvnWJFTnY_j/view?usp=sharing" TargetMode="External"/><Relationship Id="rId206" Type="http://schemas.openxmlformats.org/officeDocument/2006/relationships/hyperlink" Target="https://drive.google.com/file/d/0B9a5BtXYBva5UzV5aWwzdTNidzQ/view?usp=sharing" TargetMode="External"/><Relationship Id="rId327" Type="http://schemas.openxmlformats.org/officeDocument/2006/relationships/hyperlink" Target="https://drive.google.com/file/d/0B9a5BtXYBva5Y0VvbEpBMmpocTQ/view?usp=sharing" TargetMode="External"/><Relationship Id="rId448" Type="http://schemas.openxmlformats.org/officeDocument/2006/relationships/hyperlink" Target="https://drive.google.com/file/d/0B9a5BtXYBva5WTFnY1JZbWhYNDA/view?usp=sharing" TargetMode="External"/><Relationship Id="rId569" Type="http://schemas.openxmlformats.org/officeDocument/2006/relationships/hyperlink" Target="https://drive.google.com/a/uesc.br/file/d/0B9a5BtXYBva5eGFWdEM2MDBFS1U/view?usp=sharing" TargetMode="External"/><Relationship Id="rId205" Type="http://schemas.openxmlformats.org/officeDocument/2006/relationships/hyperlink" Target="https://drive.google.com/file/d/0B9a5BtXYBva5Vkttejdvcnp0blU/view?usp=sharing" TargetMode="External"/><Relationship Id="rId326" Type="http://schemas.openxmlformats.org/officeDocument/2006/relationships/hyperlink" Target="https://drive.google.com/file/d/0B9a5BtXYBva5cXc0OXlfejZleGc/view?usp=sharing" TargetMode="External"/><Relationship Id="rId447" Type="http://schemas.openxmlformats.org/officeDocument/2006/relationships/hyperlink" Target="https://drive.google.com/file/d/0B9a5BtXYBva5Q1pKaGlCM3hLWHc/view?usp=sharing" TargetMode="External"/><Relationship Id="rId568" Type="http://schemas.openxmlformats.org/officeDocument/2006/relationships/hyperlink" Target="https://drive.google.com/a/uesc.br/file/d/0B9a5BtXYBva5eF9lekRaRkI2c0k/view?usp=sharing" TargetMode="External"/><Relationship Id="rId689" Type="http://schemas.openxmlformats.org/officeDocument/2006/relationships/hyperlink" Target="https://drive.google.com/file/d/1IrWN4fgh94uFQDqGZ0ZqGdI7maDK5Yfi/view?usp=sharing" TargetMode="External"/><Relationship Id="rId204" Type="http://schemas.openxmlformats.org/officeDocument/2006/relationships/hyperlink" Target="https://drive.google.com/file/d/0B9a5BtXYBva5a3FBUmFJakpCdFE/view?usp=sharing" TargetMode="External"/><Relationship Id="rId325" Type="http://schemas.openxmlformats.org/officeDocument/2006/relationships/hyperlink" Target="https://drive.google.com/file/d/0B9a5BtXYBva5OE9vZElrQUgxejA/view?usp=sharing" TargetMode="External"/><Relationship Id="rId446" Type="http://schemas.openxmlformats.org/officeDocument/2006/relationships/hyperlink" Target="https://drive.google.com/file/d/0B9a5BtXYBva5SHpyME11alZPYlE/view?usp=sharing" TargetMode="External"/><Relationship Id="rId567" Type="http://schemas.openxmlformats.org/officeDocument/2006/relationships/hyperlink" Target="https://drive.google.com/a/uesc.br/file/d/0B9a5BtXYBva5TlB2TFVoM2ltZDQ/view?usp=sharing" TargetMode="External"/><Relationship Id="rId688" Type="http://schemas.openxmlformats.org/officeDocument/2006/relationships/hyperlink" Target="https://drive.google.com/file/d/1BsGdamPjhI4RSC86kxyZu6gsvULVPCGy/view?usp=sharing" TargetMode="External"/><Relationship Id="rId203" Type="http://schemas.openxmlformats.org/officeDocument/2006/relationships/hyperlink" Target="https://drive.google.com/file/d/0B9a5BtXYBva5YTNqVHg1Y0RldGM/view?usp=sharing" TargetMode="External"/><Relationship Id="rId324" Type="http://schemas.openxmlformats.org/officeDocument/2006/relationships/hyperlink" Target="https://drive.google.com/file/d/0B9a5BtXYBva5UGRUTjBZcWt2WGc/view?usp=sharing" TargetMode="External"/><Relationship Id="rId445" Type="http://schemas.openxmlformats.org/officeDocument/2006/relationships/hyperlink" Target="https://drive.google.com/file/d/0B9a5BtXYBva5dnhHaDZnRVMxSEE/view?usp=sharing" TargetMode="External"/><Relationship Id="rId566" Type="http://schemas.openxmlformats.org/officeDocument/2006/relationships/hyperlink" Target="https://drive.google.com/a/uesc.br/file/d/0B9a5BtXYBva5YzhqcWhUYVFDRTg/view?usp=sharing" TargetMode="External"/><Relationship Id="rId687" Type="http://schemas.openxmlformats.org/officeDocument/2006/relationships/hyperlink" Target="https://drive.google.com/file/d/1PUizfBGwacpZubMeONBjMVrOxCYHvYlH/view?usp=sharing" TargetMode="External"/><Relationship Id="rId209" Type="http://schemas.openxmlformats.org/officeDocument/2006/relationships/hyperlink" Target="https://drive.google.com/file/d/0B9a5BtXYBva5ckFtOGlSdzhKaG8/view?usp=sharing" TargetMode="External"/><Relationship Id="rId208" Type="http://schemas.openxmlformats.org/officeDocument/2006/relationships/hyperlink" Target="https://drive.google.com/file/d/0B9a5BtXYBva5UUJUVnZCWG9vaEU/view?usp=sharing" TargetMode="External"/><Relationship Id="rId329" Type="http://schemas.openxmlformats.org/officeDocument/2006/relationships/hyperlink" Target="https://drive.google.com/file/d/0B9a5BtXYBva5UXhXMmZqeGh5ZUU/view?usp=sharing" TargetMode="External"/><Relationship Id="rId207" Type="http://schemas.openxmlformats.org/officeDocument/2006/relationships/hyperlink" Target="https://drive.google.com/file/d/0B9a5BtXYBva5QU1VSW01N2tmWWs/view?usp=sharing" TargetMode="External"/><Relationship Id="rId328" Type="http://schemas.openxmlformats.org/officeDocument/2006/relationships/hyperlink" Target="https://drive.google.com/file/d/0B9a5BtXYBva5VlFDbkhXWGRvanc/view?usp=sharing" TargetMode="External"/><Relationship Id="rId449" Type="http://schemas.openxmlformats.org/officeDocument/2006/relationships/hyperlink" Target="https://drive.google.com/file/d/0B9a5BtXYBva5NzBZTVU2VFlJQUU/view?usp=sharing" TargetMode="External"/><Relationship Id="rId440" Type="http://schemas.openxmlformats.org/officeDocument/2006/relationships/hyperlink" Target="https://drive.google.com/file/d/0B9a5BtXYBva5RUVnWnZ1Zy1sZ0U/view?usp=sharing" TargetMode="External"/><Relationship Id="rId561" Type="http://schemas.openxmlformats.org/officeDocument/2006/relationships/hyperlink" Target="https://drive.google.com/a/uesc.br/file/d/0B9a5BtXYBva5ZXJkV1MzXzk3aWM/view?usp=sharing" TargetMode="External"/><Relationship Id="rId682" Type="http://schemas.openxmlformats.org/officeDocument/2006/relationships/hyperlink" Target="https://drive.google.com/file/d/1EgMMigzB1N9Rgyo_-zqXDEJ5vIz1RFvE/view?usp=sharing" TargetMode="External"/><Relationship Id="rId560" Type="http://schemas.openxmlformats.org/officeDocument/2006/relationships/hyperlink" Target="https://drive.google.com/a/uesc.br/file/d/0B9a5BtXYBva5N3gtVG1pdjUteVE/view?usp=sharing" TargetMode="External"/><Relationship Id="rId681" Type="http://schemas.openxmlformats.org/officeDocument/2006/relationships/hyperlink" Target="https://drive.google.com/file/d/1Wtk2Fz7Dff_nQ0cCpAIk0rCGEt7ANckg/view?usp=sharing" TargetMode="External"/><Relationship Id="rId680" Type="http://schemas.openxmlformats.org/officeDocument/2006/relationships/hyperlink" Target="https://drive.google.com/file/d/1gtdLy2XHh4t9ptULBFoBDg8pPyFBGYeV/view?usp=sharing" TargetMode="External"/><Relationship Id="rId202" Type="http://schemas.openxmlformats.org/officeDocument/2006/relationships/hyperlink" Target="https://drive.google.com/file/d/0B9a5BtXYBva5YlNib1RJRmd0dDg/view?usp=sharing" TargetMode="External"/><Relationship Id="rId323" Type="http://schemas.openxmlformats.org/officeDocument/2006/relationships/hyperlink" Target="https://drive.google.com/file/d/0B9a5BtXYBva5VGRqSEVoOEJMSU0/view?usp=sharing" TargetMode="External"/><Relationship Id="rId444" Type="http://schemas.openxmlformats.org/officeDocument/2006/relationships/hyperlink" Target="https://drive.google.com/file/d/0B9a5BtXYBva5dnVKUWFSTjJNMjA/view?usp=sharing" TargetMode="External"/><Relationship Id="rId565" Type="http://schemas.openxmlformats.org/officeDocument/2006/relationships/hyperlink" Target="https://drive.google.com/a/uesc.br/file/d/0B9a5BtXYBva5QTdsQlRfNzhIVnc/view?usp=sharing" TargetMode="External"/><Relationship Id="rId686" Type="http://schemas.openxmlformats.org/officeDocument/2006/relationships/hyperlink" Target="https://drive.google.com/file/d/15bKV15JEtje3cNFc4rwp3cnMl84rw80f/view?usp=sharing" TargetMode="External"/><Relationship Id="rId201" Type="http://schemas.openxmlformats.org/officeDocument/2006/relationships/hyperlink" Target="https://drive.google.com/file/d/0B9a5BtXYBva5ZlZMT05tWWR4S1U/view?usp=sharing" TargetMode="External"/><Relationship Id="rId322" Type="http://schemas.openxmlformats.org/officeDocument/2006/relationships/hyperlink" Target="https://drive.google.com/file/d/0B9a5BtXYBva5d1BtbmluanJNbVU/view?usp=sharing" TargetMode="External"/><Relationship Id="rId443" Type="http://schemas.openxmlformats.org/officeDocument/2006/relationships/hyperlink" Target="https://drive.google.com/file/d/0B9a5BtXYBva5U3Jld2ZTcTNOWVU/view?usp=sharing" TargetMode="External"/><Relationship Id="rId564" Type="http://schemas.openxmlformats.org/officeDocument/2006/relationships/hyperlink" Target="https://drive.google.com/a/uesc.br/file/d/0B9a5BtXYBva5dlUwVHlibkxWMzA/view?usp=sharing" TargetMode="External"/><Relationship Id="rId685" Type="http://schemas.openxmlformats.org/officeDocument/2006/relationships/hyperlink" Target="https://drive.google.com/file/d/1B8rgju9OOKptTARqymjEU9eCHgKF4mcj/view?usp=sharing" TargetMode="External"/><Relationship Id="rId200" Type="http://schemas.openxmlformats.org/officeDocument/2006/relationships/hyperlink" Target="https://drive.google.com/file/d/0B9a5BtXYBva5Ymh3UFRVazBxTUU/view?usp=sharing" TargetMode="External"/><Relationship Id="rId321" Type="http://schemas.openxmlformats.org/officeDocument/2006/relationships/hyperlink" Target="https://drive.google.com/file/d/0B9a5BtXYBva5SjRQNU0xX1A2NFk/view?usp=sharing" TargetMode="External"/><Relationship Id="rId442" Type="http://schemas.openxmlformats.org/officeDocument/2006/relationships/hyperlink" Target="https://drive.google.com/file/d/0B9a5BtXYBva5TUpqRWl2UzlhTGM/view?usp=sharing" TargetMode="External"/><Relationship Id="rId563" Type="http://schemas.openxmlformats.org/officeDocument/2006/relationships/hyperlink" Target="https://drive.google.com/a/uesc.br/file/d/0B9a5BtXYBva5VXVyY1h5UjlZdGs/view?usp=sharing" TargetMode="External"/><Relationship Id="rId684" Type="http://schemas.openxmlformats.org/officeDocument/2006/relationships/hyperlink" Target="https://drive.google.com/file/d/1vXsTM4KRcKRtVUJKur-7FrvJ6eQxkAcL/view?usp=sharing" TargetMode="External"/><Relationship Id="rId320" Type="http://schemas.openxmlformats.org/officeDocument/2006/relationships/hyperlink" Target="https://drive.google.com/file/d/0B9a5BtXYBva5MVhPd3lCOFZsRGc/view?usp=sharing" TargetMode="External"/><Relationship Id="rId441" Type="http://schemas.openxmlformats.org/officeDocument/2006/relationships/hyperlink" Target="https://drive.google.com/file/d/0B9a5BtXYBva5V2hzcE9ZNVFRbUE/view?usp=sharing" TargetMode="External"/><Relationship Id="rId562" Type="http://schemas.openxmlformats.org/officeDocument/2006/relationships/hyperlink" Target="https://drive.google.com/a/uesc.br/file/d/0B9a5BtXYBva5VndtSElDbExUZHM/view?usp=sharing" TargetMode="External"/><Relationship Id="rId683" Type="http://schemas.openxmlformats.org/officeDocument/2006/relationships/hyperlink" Target="https://drive.google.com/file/d/1WcmCG695c9vn2UwXoJ1islyZvSYMXVUj/view?usp=sharing" TargetMode="External"/><Relationship Id="rId316" Type="http://schemas.openxmlformats.org/officeDocument/2006/relationships/hyperlink" Target="https://drive.google.com/file/d/0B9a5BtXYBva5V1lKaXR4eFhzMWc/view?usp=sharing" TargetMode="External"/><Relationship Id="rId437" Type="http://schemas.openxmlformats.org/officeDocument/2006/relationships/hyperlink" Target="https://drive.google.com/file/d/0B9a5BtXYBva5d0NJTWw3X3BQQzQ/view?usp=sharing" TargetMode="External"/><Relationship Id="rId558" Type="http://schemas.openxmlformats.org/officeDocument/2006/relationships/hyperlink" Target="https://drive.google.com/a/uesc.br/file/d/0B9a5BtXYBva5anNMQ0I3NC1ueUU/view?usp=sharing" TargetMode="External"/><Relationship Id="rId679" Type="http://schemas.openxmlformats.org/officeDocument/2006/relationships/hyperlink" Target="https://drive.google.com/file/d/1bNa60Umw8lUfP_1fFHbzISiSA5NboCKm/view?usp=sharing" TargetMode="External"/><Relationship Id="rId315" Type="http://schemas.openxmlformats.org/officeDocument/2006/relationships/hyperlink" Target="https://drive.google.com/file/d/0B9a5BtXYBva5aGxoa1kydHNUUHM/view?usp=sharing" TargetMode="External"/><Relationship Id="rId436" Type="http://schemas.openxmlformats.org/officeDocument/2006/relationships/hyperlink" Target="https://drive.google.com/file/d/0B9a5BtXYBva5N2YzWERISnRCdnc/view?usp=sharing" TargetMode="External"/><Relationship Id="rId557" Type="http://schemas.openxmlformats.org/officeDocument/2006/relationships/hyperlink" Target="https://drive.google.com/a/uesc.br/file/d/0B9a5BtXYBva5dUo0QXRkVk1QdDA/view?usp=sharing" TargetMode="External"/><Relationship Id="rId678" Type="http://schemas.openxmlformats.org/officeDocument/2006/relationships/hyperlink" Target="https://drive.google.com/file/d/1h0L8E51oxA7ypcOFput25NhzCjOTpu7w/view?usp=sharing" TargetMode="External"/><Relationship Id="rId314" Type="http://schemas.openxmlformats.org/officeDocument/2006/relationships/hyperlink" Target="https://drive.google.com/file/d/0B9a5BtXYBva5SzQ3cXUzSWUxVnc/view?usp=sharing" TargetMode="External"/><Relationship Id="rId435" Type="http://schemas.openxmlformats.org/officeDocument/2006/relationships/hyperlink" Target="https://drive.google.com/file/d/0B9a5BtXYBva5ZTdYUkpZLUQ3Vm8/view?usp=sharing" TargetMode="External"/><Relationship Id="rId556" Type="http://schemas.openxmlformats.org/officeDocument/2006/relationships/hyperlink" Target="https://drive.google.com/a/uesc.br/file/d/0B9a5BtXYBva5Z2RmM2hrRXZ2a2s/view?usp=sharing" TargetMode="External"/><Relationship Id="rId677" Type="http://schemas.openxmlformats.org/officeDocument/2006/relationships/hyperlink" Target="https://drive.google.com/file/d/1x8oNtXnToAVJFuRT11TMTLUKuueQMwvc/view?usp=sharing" TargetMode="External"/><Relationship Id="rId313" Type="http://schemas.openxmlformats.org/officeDocument/2006/relationships/hyperlink" Target="https://drive.google.com/file/d/0B9a5BtXYBva5R2d2OVZ5MmZSd1U/view?usp=sharing" TargetMode="External"/><Relationship Id="rId434" Type="http://schemas.openxmlformats.org/officeDocument/2006/relationships/hyperlink" Target="https://drive.google.com/file/d/0B9a5BtXYBva5alU0cnd5U183T2c/view?usp=sharing" TargetMode="External"/><Relationship Id="rId555" Type="http://schemas.openxmlformats.org/officeDocument/2006/relationships/hyperlink" Target="https://drive.google.com/a/uesc.br/file/d/0B9a5BtXYBva5Yy1hS0k4RmJiVHc/view?usp=sharing" TargetMode="External"/><Relationship Id="rId676" Type="http://schemas.openxmlformats.org/officeDocument/2006/relationships/hyperlink" Target="https://drive.google.com/file/d/1xO005QXlsSctvxZWO6ZfL0_Qr5Pc8qaj/view?usp=sharing" TargetMode="External"/><Relationship Id="rId319" Type="http://schemas.openxmlformats.org/officeDocument/2006/relationships/hyperlink" Target="https://drive.google.com/file/d/0B9a5BtXYBva5TzFQaW84LUtTMkU/view?usp=sharing" TargetMode="External"/><Relationship Id="rId318" Type="http://schemas.openxmlformats.org/officeDocument/2006/relationships/hyperlink" Target="https://drive.google.com/file/d/0B9a5BtXYBva5STJ2QmlQTFJhalU/view?usp=sharing" TargetMode="External"/><Relationship Id="rId439" Type="http://schemas.openxmlformats.org/officeDocument/2006/relationships/hyperlink" Target="https://drive.google.com/file/d/0B9a5BtXYBva5UjNIc0VXMXFKMEU/view?usp=sharing" TargetMode="External"/><Relationship Id="rId317" Type="http://schemas.openxmlformats.org/officeDocument/2006/relationships/hyperlink" Target="https://drive.google.com/file/d/0B9a5BtXYBva5RnVNSWJhamo2Rkk/view?usp=sharing" TargetMode="External"/><Relationship Id="rId438" Type="http://schemas.openxmlformats.org/officeDocument/2006/relationships/hyperlink" Target="https://drive.google.com/file/d/0B9a5BtXYBva5cFZtN0NKV3FZMFU/view?usp=sharing" TargetMode="External"/><Relationship Id="rId559" Type="http://schemas.openxmlformats.org/officeDocument/2006/relationships/hyperlink" Target="https://drive.google.com/a/uesc.br/file/d/0B9a5BtXYBva5MDFtdkRYWHMtV1E/view?usp=sharing" TargetMode="External"/><Relationship Id="rId550" Type="http://schemas.openxmlformats.org/officeDocument/2006/relationships/hyperlink" Target="https://drive.google.com/file/d/0B9a5BtXYBva5Y2x6cFEtRFdGdmc/view?usp=sharing" TargetMode="External"/><Relationship Id="rId671" Type="http://schemas.openxmlformats.org/officeDocument/2006/relationships/hyperlink" Target="https://drive.google.com/file/d/1uGU3T7mfextJMuf5zPd9bYHLpJq_qAY5/view?usp=sharing" TargetMode="External"/><Relationship Id="rId670" Type="http://schemas.openxmlformats.org/officeDocument/2006/relationships/hyperlink" Target="https://drive.google.com/file/d/1IfW4czuiQyBn7jJENdOSCqoFpzi_lFZM/view?usp=sharing" TargetMode="External"/><Relationship Id="rId312" Type="http://schemas.openxmlformats.org/officeDocument/2006/relationships/hyperlink" Target="https://drive.google.com/file/d/0B9a5BtXYBva5RFNlRUFhQWpEbTQ/view?usp=sharing" TargetMode="External"/><Relationship Id="rId433" Type="http://schemas.openxmlformats.org/officeDocument/2006/relationships/hyperlink" Target="https://drive.google.com/file/d/0B9a5BtXYBva5NVpVQjhnek1kSzQ/view?usp=sharing" TargetMode="External"/><Relationship Id="rId554" Type="http://schemas.openxmlformats.org/officeDocument/2006/relationships/hyperlink" Target="https://drive.google.com/a/uesc.br/file/d/0B9a5BtXYBva5UUlUQ0JBeGFkV2M/view?usp=sharing" TargetMode="External"/><Relationship Id="rId675" Type="http://schemas.openxmlformats.org/officeDocument/2006/relationships/hyperlink" Target="https://drive.google.com/file/d/1X-Q_AvNcc-gUxXWbcCXSJ6FlPAj6u3Er/view?usp=sharing" TargetMode="External"/><Relationship Id="rId311" Type="http://schemas.openxmlformats.org/officeDocument/2006/relationships/hyperlink" Target="https://drive.google.com/file/d/0B9a5BtXYBva5akdtcVpldjhiWWs/view?usp=sharing" TargetMode="External"/><Relationship Id="rId432" Type="http://schemas.openxmlformats.org/officeDocument/2006/relationships/hyperlink" Target="https://drive.google.com/file/d/0B9a5BtXYBva5UlA4TkdXZzJpdW8/view?usp=sharing" TargetMode="External"/><Relationship Id="rId553" Type="http://schemas.openxmlformats.org/officeDocument/2006/relationships/hyperlink" Target="https://drive.google.com/a/uesc.br/file/d/0B9a5BtXYBva5blJuZWRDRzVOZzQ/view?usp=sharing" TargetMode="External"/><Relationship Id="rId674" Type="http://schemas.openxmlformats.org/officeDocument/2006/relationships/hyperlink" Target="https://drive.google.com/file/d/1ILi8cIAcoJr6ksDNGmbQQEk4neDqn8xC/view?usp=sharing" TargetMode="External"/><Relationship Id="rId310" Type="http://schemas.openxmlformats.org/officeDocument/2006/relationships/hyperlink" Target="https://drive.google.com/file/d/0B9a5BtXYBva5WXFNUk1ZZEhwTFE/view?usp=sharing" TargetMode="External"/><Relationship Id="rId431" Type="http://schemas.openxmlformats.org/officeDocument/2006/relationships/hyperlink" Target="https://drive.google.com/file/d/0B9a5BtXYBva5OGJucExiNFl2Y1U/view?usp=sharing" TargetMode="External"/><Relationship Id="rId552" Type="http://schemas.openxmlformats.org/officeDocument/2006/relationships/hyperlink" Target="https://drive.google.com/a/uesc.br/file/d/0B9a5BtXYBva5SlNtMUNLYzhEQnc/view?usp=sharing" TargetMode="External"/><Relationship Id="rId673" Type="http://schemas.openxmlformats.org/officeDocument/2006/relationships/hyperlink" Target="https://drive.google.com/file/d/1RILvEBx2xwNfVHgS_2l19aE--n6zfR1o/view?usp=sharing" TargetMode="External"/><Relationship Id="rId430" Type="http://schemas.openxmlformats.org/officeDocument/2006/relationships/hyperlink" Target="https://drive.google.com/file/d/0B9a5BtXYBva5VDY4RTk3OS1NRG8/view?usp=sharing" TargetMode="External"/><Relationship Id="rId551" Type="http://schemas.openxmlformats.org/officeDocument/2006/relationships/hyperlink" Target="https://drive.google.com/a/uesc.br/file/d/0B9a5BtXYBva5aUR3dzhuZE9kNzg/view?usp=sharing" TargetMode="External"/><Relationship Id="rId672" Type="http://schemas.openxmlformats.org/officeDocument/2006/relationships/hyperlink" Target="https://drive.google.com/file/d/1kZ5qgWn2cRUx2gzvo_ZIbZWeUNINlWef/view?usp=sharing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0B9a5BtXYBva5dElucDVpRW5BS1E/view?usp=sharing" TargetMode="External"/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10.29"/>
    <col customWidth="1" min="2" max="2" width="46.29"/>
    <col customWidth="1" min="3" max="3" width="17.71"/>
    <col customWidth="1" min="4" max="4" width="38.0"/>
    <col customWidth="1" min="5" max="5" width="19.14"/>
    <col customWidth="1" min="6" max="6" width="17.29"/>
    <col customWidth="1" min="7" max="7" width="12.14"/>
    <col customWidth="1" min="8" max="8" width="45.57"/>
    <col customWidth="1" min="9" max="18" width="9.14"/>
    <col customWidth="1" min="19" max="26" width="8.0"/>
  </cols>
  <sheetData>
    <row r="1" ht="26.25" customHeight="1">
      <c r="A1" s="1" t="s">
        <v>0</v>
      </c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  <c r="U2" s="8"/>
      <c r="V2" s="8"/>
      <c r="W2" s="8"/>
      <c r="X2" s="8"/>
      <c r="Y2" s="8"/>
      <c r="Z2" s="8"/>
    </row>
    <row r="3" ht="12.75" customHeight="1">
      <c r="A3" s="9" t="s">
        <v>2</v>
      </c>
      <c r="H3" s="10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</row>
    <row r="4" ht="12.75" customHeight="1">
      <c r="A4" s="11"/>
      <c r="B4" s="12"/>
      <c r="C4" s="13"/>
      <c r="D4" s="14"/>
      <c r="E4" s="14"/>
      <c r="F4" s="14"/>
      <c r="G4" s="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  <c r="U4" s="8"/>
      <c r="V4" s="8"/>
      <c r="W4" s="8"/>
      <c r="X4" s="8"/>
      <c r="Y4" s="8"/>
      <c r="Z4" s="8"/>
    </row>
    <row r="5" ht="26.25" customHeight="1">
      <c r="A5" s="15" t="s">
        <v>3</v>
      </c>
      <c r="B5" s="16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8" t="s">
        <v>9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</row>
    <row r="6" ht="23.25" customHeight="1">
      <c r="A6" s="21" t="s">
        <v>10</v>
      </c>
      <c r="B6" s="22" t="s">
        <v>11</v>
      </c>
      <c r="C6" s="23"/>
      <c r="D6" s="23"/>
      <c r="E6" s="23"/>
      <c r="F6" s="23"/>
      <c r="G6" s="24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20"/>
      <c r="U6" s="20"/>
      <c r="V6" s="20"/>
      <c r="W6" s="20"/>
      <c r="X6" s="20"/>
      <c r="Y6" s="20"/>
      <c r="Z6" s="20"/>
    </row>
    <row r="7" ht="51.0" customHeight="1">
      <c r="A7" s="25" t="s">
        <v>12</v>
      </c>
      <c r="B7" s="26" t="str">
        <f>HYPERLINK("https://drive.google.com/file/d/14lkUcMqF54ZYKIfTVSsY58Atxva_LP65/view?usp=sharing","POLÍTICA PÚBLICA MONETÁRIA E CRESCIMENTO ECONÔMICO NO BRASIL: UM ESTUDO DOS RESULTADOS DO PLANO REAL NO PERÍODO DE 1994 A 2004")</f>
        <v>POLÍTICA PÚBLICA MONETÁRIA E CRESCIMENTO ECONÔMICO NO BRASIL: UM ESTUDO DOS RESULTADOS DO PLANO REAL NO PERÍODO DE 1994 A 2004</v>
      </c>
      <c r="C7" s="27" t="s">
        <v>13</v>
      </c>
      <c r="D7" s="27" t="s">
        <v>14</v>
      </c>
      <c r="E7" s="27" t="s">
        <v>15</v>
      </c>
      <c r="F7" s="27" t="s">
        <v>16</v>
      </c>
      <c r="G7" s="28">
        <v>38407.0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  <c r="T7" s="30"/>
      <c r="U7" s="30"/>
      <c r="V7" s="30"/>
      <c r="W7" s="30"/>
      <c r="X7" s="30"/>
      <c r="Y7" s="30"/>
      <c r="Z7" s="30"/>
    </row>
    <row r="8" ht="42.75" customHeight="1">
      <c r="A8" s="31" t="s">
        <v>17</v>
      </c>
      <c r="B8" s="32" t="str">
        <f>HYPERLINK("https://drive.google.com/file/d/1zjYEIK64YzBUwWVuN5O_NYSb0-YX7r6d/view?usp=sharing","DESEMPREGO INDUSTRIAL NO BRASIL, 1990 – 2000")</f>
        <v>DESEMPREGO INDUSTRIAL NO BRASIL, 1990 – 2000</v>
      </c>
      <c r="C8" s="33" t="s">
        <v>18</v>
      </c>
      <c r="D8" s="33" t="s">
        <v>19</v>
      </c>
      <c r="E8" s="33" t="s">
        <v>20</v>
      </c>
      <c r="F8" s="33" t="s">
        <v>21</v>
      </c>
      <c r="G8" s="34">
        <v>38385.0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  <c r="T8" s="30"/>
      <c r="U8" s="30"/>
      <c r="V8" s="30"/>
      <c r="W8" s="30"/>
      <c r="X8" s="30"/>
      <c r="Y8" s="30"/>
      <c r="Z8" s="30"/>
    </row>
    <row r="9" ht="42.75" customHeight="1">
      <c r="A9" s="25" t="s">
        <v>22</v>
      </c>
      <c r="B9" s="26" t="str">
        <f>HYPERLINK("https://drive.google.com/file/d/1fAgFBaxtxYoiiMW3HL2evbeC_Q5mmE-x/view?usp=sharing","O IMPACTO ECONÔMICO DO NOVO CÓDIGO DE TRÂNSITO BRASILEIRO NA RODOVIA BR 101 DA REGIÃO SUL CACAUEIRA DA BAHIA")</f>
        <v>O IMPACTO ECONÔMICO DO NOVO CÓDIGO DE TRÂNSITO BRASILEIRO NA RODOVIA BR 101 DA REGIÃO SUL CACAUEIRA DA BAHIA</v>
      </c>
      <c r="C9" s="27" t="s">
        <v>23</v>
      </c>
      <c r="D9" s="27" t="s">
        <v>24</v>
      </c>
      <c r="E9" s="27" t="s">
        <v>25</v>
      </c>
      <c r="F9" s="27" t="s">
        <v>26</v>
      </c>
      <c r="G9" s="28">
        <v>38385.0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30"/>
      <c r="U9" s="30"/>
      <c r="V9" s="30"/>
      <c r="W9" s="30"/>
      <c r="X9" s="30"/>
      <c r="Y9" s="30"/>
      <c r="Z9" s="30"/>
    </row>
    <row r="10" ht="38.25" customHeight="1">
      <c r="A10" s="31" t="s">
        <v>27</v>
      </c>
      <c r="B10" s="32" t="str">
        <f>HYPERLINK("https://drive.google.com/file/d/1tkkx8WU56jSMw7NrgfYIeTQmMsjpjzqz/view?usp=sharing","O MICROCRÉDITO COMO DINAMIZADOR DO PROCESSO SOCIOECONÔMICO NO MUNICÍPIO DE ITABUNA-BA")</f>
        <v>O MICROCRÉDITO COMO DINAMIZADOR DO PROCESSO SOCIOECONÔMICO NO MUNICÍPIO DE ITABUNA-BA</v>
      </c>
      <c r="C10" s="33" t="s">
        <v>28</v>
      </c>
      <c r="D10" s="33" t="s">
        <v>29</v>
      </c>
      <c r="E10" s="33" t="s">
        <v>30</v>
      </c>
      <c r="F10" s="33" t="s">
        <v>31</v>
      </c>
      <c r="G10" s="34">
        <v>38121.0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30"/>
      <c r="U10" s="30"/>
      <c r="V10" s="30"/>
      <c r="W10" s="30"/>
      <c r="X10" s="30"/>
      <c r="Y10" s="30"/>
      <c r="Z10" s="30"/>
    </row>
    <row r="11" ht="42.75" customHeight="1">
      <c r="A11" s="25" t="s">
        <v>32</v>
      </c>
      <c r="B11" s="26" t="str">
        <f>HYPERLINK("https://drive.google.com/file/d/1tkkx8WU56jSMw7NrgfYIeTQmMsjpjzqz/view?usp=sharing","PERFIL DA DEMANDA TURÍSTICA DOS MUNICÍPIOS DE ILHÉUS E ITACARÉ, BAHIA: UMA ANÁLISE COMPARATIVA PARA O ANO DE 2002")</f>
        <v>PERFIL DA DEMANDA TURÍSTICA DOS MUNICÍPIOS DE ILHÉUS E ITACARÉ, BAHIA: UMA ANÁLISE COMPARATIVA PARA O ANO DE 2002</v>
      </c>
      <c r="C11" s="27" t="s">
        <v>33</v>
      </c>
      <c r="D11" s="27" t="s">
        <v>34</v>
      </c>
      <c r="E11" s="27" t="s">
        <v>35</v>
      </c>
      <c r="F11" s="27" t="s">
        <v>36</v>
      </c>
      <c r="G11" s="28">
        <v>38343.0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  <c r="T11" s="30"/>
      <c r="U11" s="30"/>
      <c r="V11" s="30"/>
      <c r="W11" s="30"/>
      <c r="X11" s="30"/>
      <c r="Y11" s="30"/>
      <c r="Z11" s="30"/>
    </row>
    <row r="12" ht="63.75" customHeight="1">
      <c r="A12" s="31" t="s">
        <v>37</v>
      </c>
      <c r="B12" s="32" t="str">
        <f>HYPERLINK("https://drive.google.com/file/d/1rFzd-XAJ6GQXF-i6yv5OUpsaEbfWNFUd/view?usp=sharing","A COOPERATIVA DE TRABALHO COMO ALTERNATIVA PARA MINIMIZAR O DESEMPREGO: ANÁLISE DAS VANTAGENS DO COOPERATIVISMO NO SEGMENTO HOSPITALAR EM ITABUNA: ESTUDO DE CASO")</f>
        <v>A COOPERATIVA DE TRABALHO COMO ALTERNATIVA PARA MINIMIZAR O DESEMPREGO: ANÁLISE DAS VANTAGENS DO COOPERATIVISMO NO SEGMENTO HOSPITALAR EM ITABUNA: ESTUDO DE CASO</v>
      </c>
      <c r="C12" s="33" t="s">
        <v>38</v>
      </c>
      <c r="D12" s="33" t="s">
        <v>39</v>
      </c>
      <c r="E12" s="33" t="s">
        <v>40</v>
      </c>
      <c r="F12" s="33" t="s">
        <v>41</v>
      </c>
      <c r="G12" s="34">
        <v>38343.0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T12" s="30"/>
      <c r="U12" s="30"/>
      <c r="V12" s="30"/>
      <c r="W12" s="30"/>
      <c r="X12" s="30"/>
      <c r="Y12" s="30"/>
      <c r="Z12" s="30"/>
    </row>
    <row r="13" ht="57.0" customHeight="1">
      <c r="A13" s="25" t="s">
        <v>42</v>
      </c>
      <c r="B13" s="26" t="str">
        <f>HYPERLINK("https://drive.google.com/file/d/1uJb5TklIWdSkY3-7tv-ZqIdTWqeX9hAo/view?usp=sharing","AVALIAÇÃO DOS REFLEXOS DA MODERNIZAÇÃO DA CACAUICULTURA SOBRE O MEIO AMBIENTE NA REGIÃO SUL DA BAHIA. ")</f>
        <v>AVALIAÇÃO DOS REFLEXOS DA MODERNIZAÇÃO DA CACAUICULTURA SOBRE O MEIO AMBIENTE NA REGIÃO SUL DA BAHIA. </v>
      </c>
      <c r="C13" s="27" t="s">
        <v>43</v>
      </c>
      <c r="D13" s="27" t="s">
        <v>44</v>
      </c>
      <c r="E13" s="27" t="s">
        <v>45</v>
      </c>
      <c r="F13" s="27" t="s">
        <v>31</v>
      </c>
      <c r="G13" s="28">
        <v>38104.0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</row>
    <row r="14" ht="42.75" customHeight="1">
      <c r="A14" s="31" t="s">
        <v>46</v>
      </c>
      <c r="B14" s="32" t="str">
        <f>HYPERLINK("https://drive.google.com/file/d/1e1AbFcVa-J7zohMl_8dhBTR71uPgzgKU/view?usp=sharing","ASPECTOS ECONÔMICOS E FINANCEIROS DO CULTIVO DO AÇAIZEIRO NO MUNICÍPIO DE CAMAMU-BA")</f>
        <v>ASPECTOS ECONÔMICOS E FINANCEIROS DO CULTIVO DO AÇAIZEIRO NO MUNICÍPIO DE CAMAMU-BA</v>
      </c>
      <c r="C14" s="33" t="s">
        <v>47</v>
      </c>
      <c r="D14" s="33" t="s">
        <v>48</v>
      </c>
      <c r="E14" s="33" t="s">
        <v>49</v>
      </c>
      <c r="F14" s="33" t="s">
        <v>50</v>
      </c>
      <c r="G14" s="34">
        <v>38127.0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  <c r="T14" s="30"/>
      <c r="U14" s="30"/>
      <c r="V14" s="30"/>
      <c r="W14" s="30"/>
      <c r="X14" s="30"/>
      <c r="Y14" s="30"/>
      <c r="Z14" s="30"/>
    </row>
    <row r="15" ht="71.25" customHeight="1">
      <c r="A15" s="25" t="s">
        <v>51</v>
      </c>
      <c r="B15" s="26" t="str">
        <f>HYPERLINK("https://drive.google.com/file/d/1x3BMREZ-R9f3RmAkYiXRoxikNFHM4kHM/view?usp=sharing","PLANO DE METAS DO GOVERNO DE JUSCELINO KUBITSCHECK: ANÁLISE DE ALGUMAS DISPARIDADES ENTRE AS PROPOSTAS DE IMPLANTAÇÃO E A ABRANGÊNCIA DE SUAS REALIZAÇÕES")</f>
        <v>PLANO DE METAS DO GOVERNO DE JUSCELINO KUBITSCHECK: ANÁLISE DE ALGUMAS DISPARIDADES ENTRE AS PROPOSTAS DE IMPLANTAÇÃO E A ABRANGÊNCIA DE SUAS REALIZAÇÕES</v>
      </c>
      <c r="C15" s="27" t="s">
        <v>52</v>
      </c>
      <c r="D15" s="27" t="s">
        <v>53</v>
      </c>
      <c r="E15" s="27" t="s">
        <v>54</v>
      </c>
      <c r="F15" s="27" t="s">
        <v>41</v>
      </c>
      <c r="G15" s="35">
        <v>2005.0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T15" s="30"/>
      <c r="U15" s="30"/>
      <c r="V15" s="30"/>
      <c r="W15" s="30"/>
      <c r="X15" s="30"/>
      <c r="Y15" s="30"/>
      <c r="Z15" s="30"/>
    </row>
    <row r="16" ht="42.75" customHeight="1">
      <c r="A16" s="31" t="s">
        <v>55</v>
      </c>
      <c r="B16" s="32" t="str">
        <f>HYPERLINK("https://drive.google.com/file/d/1swl5xN4b3wZfJImXzQQInt2i0DghmLzB/view?usp=sharing","VIABILIDADE ECONÔMICO-FINANCEIRA DO CULTIVO DA MANDIOCA E PRODUÇÃO DA FARINHA EM BUERAREMA, BAHIA")</f>
        <v>VIABILIDADE ECONÔMICO-FINANCEIRA DO CULTIVO DA MANDIOCA E PRODUÇÃO DA FARINHA EM BUERAREMA, BAHIA</v>
      </c>
      <c r="C16" s="33" t="s">
        <v>56</v>
      </c>
      <c r="D16" s="33" t="s">
        <v>57</v>
      </c>
      <c r="E16" s="33" t="s">
        <v>58</v>
      </c>
      <c r="F16" s="33" t="s">
        <v>59</v>
      </c>
      <c r="G16" s="34">
        <v>38321.0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30"/>
      <c r="U16" s="30"/>
      <c r="V16" s="30"/>
      <c r="W16" s="30"/>
      <c r="X16" s="30"/>
      <c r="Y16" s="30"/>
      <c r="Z16" s="30"/>
    </row>
    <row r="17" ht="51.0" customHeight="1">
      <c r="A17" s="25" t="s">
        <v>60</v>
      </c>
      <c r="B17" s="26" t="str">
        <f>HYPERLINK("https://drive.google.com/file/d/1J_pWUoPzSFie-FVThgjPcgxCPocQsxjl/view?usp=sharing","O PÓLO DE INFORMÁTICA NO MUNICÍPIO DE ILHÉUS (BA): PAPEL DO ESTADO E CARACTERIZAÇÃO SOCIOECONÔMICA DOS TRABALHADORES DA INDÚSTRIA")</f>
        <v>O PÓLO DE INFORMÁTICA NO MUNICÍPIO DE ILHÉUS (BA): PAPEL DO ESTADO E CARACTERIZAÇÃO SOCIOECONÔMICA DOS TRABALHADORES DA INDÚSTRIA</v>
      </c>
      <c r="C17" s="27" t="s">
        <v>61</v>
      </c>
      <c r="D17" s="27" t="s">
        <v>62</v>
      </c>
      <c r="E17" s="27" t="s">
        <v>63</v>
      </c>
      <c r="F17" s="27" t="s">
        <v>64</v>
      </c>
      <c r="G17" s="28">
        <v>38321.0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T17" s="30"/>
      <c r="U17" s="30"/>
      <c r="V17" s="30"/>
      <c r="W17" s="30"/>
      <c r="X17" s="30"/>
      <c r="Y17" s="30"/>
      <c r="Z17" s="30"/>
    </row>
    <row r="18" ht="51.0" customHeight="1">
      <c r="A18" s="31" t="s">
        <v>65</v>
      </c>
      <c r="B18" s="32" t="str">
        <f>HYPERLINK("https://drive.google.com/file/d/1VzIhP2gBRgv_RbjRGpybyXSflXRpJt9K/view?usp=sharing","TURISMO SUSTENTÁVEL EM EMPREENDIMENTOS RECEPTIVOS: UM ESTUDO DA VIABILIDADE FINANCEIRA DE POUSADA, NA ILHA DE BOIPEBA, CAIRÚ, BA")</f>
        <v>TURISMO SUSTENTÁVEL EM EMPREENDIMENTOS RECEPTIVOS: UM ESTUDO DA VIABILIDADE FINANCEIRA DE POUSADA, NA ILHA DE BOIPEBA, CAIRÚ, BA</v>
      </c>
      <c r="C18" s="33" t="s">
        <v>33</v>
      </c>
      <c r="D18" s="33" t="s">
        <v>66</v>
      </c>
      <c r="E18" s="33" t="s">
        <v>67</v>
      </c>
      <c r="F18" s="33" t="s">
        <v>68</v>
      </c>
      <c r="G18" s="34">
        <v>38321.0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  <c r="T18" s="30"/>
      <c r="U18" s="30"/>
      <c r="V18" s="30"/>
      <c r="W18" s="30"/>
      <c r="X18" s="30"/>
      <c r="Y18" s="30"/>
      <c r="Z18" s="30"/>
    </row>
    <row r="19" ht="42.75" customHeight="1">
      <c r="A19" s="25" t="s">
        <v>69</v>
      </c>
      <c r="B19" s="26" t="str">
        <f>HYPERLINK("https://drive.google.com/file/d/1s-A2MV56aK1CAUtctkoQuR7fBIXRvfxO/view?usp=sharing","UMA ANÁLISE SOBRE O DESEMPENHO DO MERCADO BAIANO DE SEGUROS")</f>
        <v>UMA ANÁLISE SOBRE O DESEMPENHO DO MERCADO BAIANO DE SEGUROS</v>
      </c>
      <c r="C19" s="27" t="s">
        <v>70</v>
      </c>
      <c r="D19" s="27" t="s">
        <v>71</v>
      </c>
      <c r="E19" s="27" t="s">
        <v>72</v>
      </c>
      <c r="F19" s="27" t="s">
        <v>73</v>
      </c>
      <c r="G19" s="28">
        <v>38217.0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  <c r="T19" s="30"/>
      <c r="U19" s="30"/>
      <c r="V19" s="30"/>
      <c r="W19" s="30"/>
      <c r="X19" s="30"/>
      <c r="Y19" s="30"/>
      <c r="Z19" s="30"/>
    </row>
    <row r="20" ht="38.25" customHeight="1">
      <c r="A20" s="31" t="s">
        <v>74</v>
      </c>
      <c r="B20" s="32" t="str">
        <f>HYPERLINK("https://drive.google.com/file/d/1bQbuB466mJOVaqTWdqsPNq9tSh73AEvS/view?usp=sharing","IMPACTO DA MUNICIPALIZAÇÃO DA SAÚDE NA GERAÇÃO DE EMPREGO E RENDA NO MUNICÍPIO DE ILHÉUS-BA")</f>
        <v>IMPACTO DA MUNICIPALIZAÇÃO DA SAÚDE NA GERAÇÃO DE EMPREGO E RENDA NO MUNICÍPIO DE ILHÉUS-BA</v>
      </c>
      <c r="C20" s="33" t="s">
        <v>18</v>
      </c>
      <c r="D20" s="33" t="s">
        <v>75</v>
      </c>
      <c r="E20" s="33" t="s">
        <v>76</v>
      </c>
      <c r="F20" s="33" t="s">
        <v>31</v>
      </c>
      <c r="G20" s="34">
        <v>38244.0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30"/>
      <c r="U20" s="30"/>
      <c r="V20" s="30"/>
      <c r="W20" s="30"/>
      <c r="X20" s="30"/>
      <c r="Y20" s="30"/>
      <c r="Z20" s="30"/>
    </row>
    <row r="21" ht="42.75" customHeight="1">
      <c r="A21" s="25" t="s">
        <v>77</v>
      </c>
      <c r="B21" s="26" t="str">
        <f>HYPERLINK("https://drive.google.com/file/d/1zWZ6-6hLs0XgwthzvXlcxHoeYYcTHWFH/view?usp=sharing","AVALIAÇÃO DAS CONTAS PÚBLICAS DO MUNICÍPIO DE SÃO JOSÉ DA VITÓRIA (BAHIA) NOS ANOS DE 1996 A 2000")</f>
        <v>AVALIAÇÃO DAS CONTAS PÚBLICAS DO MUNICÍPIO DE SÃO JOSÉ DA VITÓRIA (BAHIA) NOS ANOS DE 1996 A 2000</v>
      </c>
      <c r="C21" s="27" t="s">
        <v>23</v>
      </c>
      <c r="D21" s="27" t="s">
        <v>78</v>
      </c>
      <c r="E21" s="27" t="s">
        <v>79</v>
      </c>
      <c r="F21" s="27" t="s">
        <v>80</v>
      </c>
      <c r="G21" s="28">
        <v>38191.0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  <c r="T21" s="30"/>
      <c r="U21" s="30"/>
      <c r="V21" s="30"/>
      <c r="W21" s="30"/>
      <c r="X21" s="30"/>
      <c r="Y21" s="30"/>
      <c r="Z21" s="30"/>
    </row>
    <row r="22" ht="38.25" customHeight="1">
      <c r="A22" s="31" t="s">
        <v>81</v>
      </c>
      <c r="B22" s="32" t="str">
        <f>HYPERLINK("https://drive.google.com/file/d/1cQULczJF3M4l3mTjfuHRcJS8fs4UWHwZ/view?usp=sharing","PERFIL SOCIOECONÔMICO DA POPULAÇÃO DO BAIRRO NOSSA SENHORA DA VITÓRIA NO MUNICIPIO DE ILHÉUS – NOVEMBRO DE 2003")</f>
        <v>PERFIL SOCIOECONÔMICO DA POPULAÇÃO DO BAIRRO NOSSA SENHORA DA VITÓRIA NO MUNICIPIO DE ILHÉUS – NOVEMBRO DE 2003</v>
      </c>
      <c r="C22" s="33" t="s">
        <v>61</v>
      </c>
      <c r="D22" s="33" t="s">
        <v>82</v>
      </c>
      <c r="E22" s="33" t="s">
        <v>83</v>
      </c>
      <c r="F22" s="33" t="s">
        <v>84</v>
      </c>
      <c r="G22" s="34">
        <v>38321.0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  <c r="T22" s="30"/>
      <c r="U22" s="30"/>
      <c r="V22" s="30"/>
      <c r="W22" s="30"/>
      <c r="X22" s="30"/>
      <c r="Y22" s="30"/>
      <c r="Z22" s="30"/>
    </row>
    <row r="23" ht="57.0" customHeight="1">
      <c r="A23" s="25" t="s">
        <v>85</v>
      </c>
      <c r="B23" s="26" t="str">
        <f>HYPERLINK("https://drive.google.com/file/d/18Yo5ClbdflkPQJnsJ7Iwmkb1f74HqAx-/view?usp=sharing","A REESTRUTURAÇÃO DO SISTEMA DE PAGAMENTOS BRASILEIRO (SPB) E SUA IMPORTÂNCIA PARA A ESTABILIDADE DO SISTEMA FINANCEIRO NACIONAL")</f>
        <v>A REESTRUTURAÇÃO DO SISTEMA DE PAGAMENTOS BRASILEIRO (SPB) E SUA IMPORTÂNCIA PARA A ESTABILIDADE DO SISTEMA FINANCEIRO NACIONAL</v>
      </c>
      <c r="C23" s="27" t="s">
        <v>13</v>
      </c>
      <c r="D23" s="27" t="s">
        <v>86</v>
      </c>
      <c r="E23" s="27" t="s">
        <v>87</v>
      </c>
      <c r="F23" s="27" t="s">
        <v>88</v>
      </c>
      <c r="G23" s="28">
        <v>38358.0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30"/>
      <c r="U23" s="30"/>
      <c r="V23" s="30"/>
      <c r="W23" s="30"/>
      <c r="X23" s="30"/>
      <c r="Y23" s="30"/>
      <c r="Z23" s="30"/>
    </row>
    <row r="24" ht="28.5" customHeight="1">
      <c r="A24" s="31" t="s">
        <v>89</v>
      </c>
      <c r="B24" s="32" t="str">
        <f>HYPERLINK("https://drive.google.com/file/d/1-cXgpODX8JyHjzPfRUL_E73-X-LCcH0B/view?usp=sharing","A DEMANDA DO LEITE BOVINO PASTEURIZADO NO MUNICÍPIO DE CAMACAN, BAHIA")</f>
        <v>A DEMANDA DO LEITE BOVINO PASTEURIZADO NO MUNICÍPIO DE CAMACAN, BAHIA</v>
      </c>
      <c r="C24" s="33" t="s">
        <v>47</v>
      </c>
      <c r="D24" s="33" t="s">
        <v>90</v>
      </c>
      <c r="E24" s="33" t="s">
        <v>91</v>
      </c>
      <c r="F24" s="33" t="s">
        <v>73</v>
      </c>
      <c r="G24" s="34">
        <v>38077.0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30"/>
      <c r="V24" s="30"/>
      <c r="W24" s="30"/>
      <c r="X24" s="30"/>
      <c r="Y24" s="30"/>
      <c r="Z24" s="30"/>
    </row>
    <row r="25" ht="51.0" customHeight="1">
      <c r="A25" s="25" t="s">
        <v>92</v>
      </c>
      <c r="B25" s="26" t="str">
        <f>HYPERLINK("https://drive.google.com/file/d/1hi0fpMSXUeLP7Q1uiQSZnnhgm8afPoZ6/view?usp=sharing","ANÁLISE DAS POLÍTICAS PÚBLICAS DE GERAÇÃO DE EMPREGO NO SETOR INDUSTRIAL DO MUNICÍPIO DE ITABUNA, BAHIA NA DÉCADA DE 90.")</f>
        <v>ANÁLISE DAS POLÍTICAS PÚBLICAS DE GERAÇÃO DE EMPREGO NO SETOR INDUSTRIAL DO MUNICÍPIO DE ITABUNA, BAHIA NA DÉCADA DE 90.</v>
      </c>
      <c r="C25" s="27" t="s">
        <v>18</v>
      </c>
      <c r="D25" s="27" t="s">
        <v>93</v>
      </c>
      <c r="E25" s="27" t="s">
        <v>94</v>
      </c>
      <c r="F25" s="27" t="s">
        <v>26</v>
      </c>
      <c r="G25" s="28">
        <v>38321.0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30"/>
      <c r="U25" s="30"/>
      <c r="V25" s="30"/>
      <c r="W25" s="30"/>
      <c r="X25" s="30"/>
      <c r="Y25" s="30"/>
      <c r="Z25" s="30"/>
    </row>
    <row r="26" ht="51.0" customHeight="1">
      <c r="A26" s="31" t="s">
        <v>95</v>
      </c>
      <c r="B26" s="32" t="str">
        <f>HYPERLINK("https://drive.google.com/file/d/1BRpEd5QkXSD5aghxwtEHtj8SWOKUxPoa/view?usp=sharing","ANÁLISE DOS REFLEXOS DA CRISE CACAUEIRA SOBRE O NÍVEL DAS RECEITAS TRIBUTÁRIAS PRÓPRIAS DO MUNICÍPIO DE ITABUNA NO PERÍODO DE 1980 A 2000.")</f>
        <v>ANÁLISE DOS REFLEXOS DA CRISE CACAUEIRA SOBRE O NÍVEL DAS RECEITAS TRIBUTÁRIAS PRÓPRIAS DO MUNICÍPIO DE ITABUNA NO PERÍODO DE 1980 A 2000.</v>
      </c>
      <c r="C26" s="33" t="s">
        <v>96</v>
      </c>
      <c r="D26" s="33" t="s">
        <v>97</v>
      </c>
      <c r="E26" s="33" t="s">
        <v>98</v>
      </c>
      <c r="F26" s="33" t="s">
        <v>88</v>
      </c>
      <c r="G26" s="34">
        <v>38273.0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30"/>
      <c r="U26" s="30"/>
      <c r="V26" s="30"/>
      <c r="W26" s="30"/>
      <c r="X26" s="30"/>
      <c r="Y26" s="30"/>
      <c r="Z26" s="30"/>
    </row>
    <row r="27" ht="38.25" customHeight="1">
      <c r="A27" s="25" t="s">
        <v>99</v>
      </c>
      <c r="B27" s="26" t="str">
        <f>HYPERLINK("https://drive.google.com/file/d/1Uoxqiblo9N2V8CwD-D9yXFrGsW8B6bIt/view?usp=sharing","INFLUÊNCIA DA MODERNIZAÇÃO TECNOLÓGICA NA PRODUÇÃO DO SETOR PRIMÁRIO DA ECONOMIA BRASILEIRA")</f>
        <v>INFLUÊNCIA DA MODERNIZAÇÃO TECNOLÓGICA NA PRODUÇÃO DO SETOR PRIMÁRIO DA ECONOMIA BRASILEIRA</v>
      </c>
      <c r="C27" s="27" t="s">
        <v>47</v>
      </c>
      <c r="D27" s="27" t="s">
        <v>100</v>
      </c>
      <c r="E27" s="27" t="s">
        <v>101</v>
      </c>
      <c r="F27" s="27" t="s">
        <v>50</v>
      </c>
      <c r="G27" s="28">
        <v>38244.0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30"/>
      <c r="U27" s="30"/>
      <c r="V27" s="30"/>
      <c r="W27" s="30"/>
      <c r="X27" s="30"/>
      <c r="Y27" s="30"/>
      <c r="Z27" s="30"/>
    </row>
    <row r="28" ht="42.75" customHeight="1">
      <c r="A28" s="31" t="s">
        <v>102</v>
      </c>
      <c r="B28" s="32" t="str">
        <f>HYPERLINK("https://drive.google.com/file/d/1PgCpXbKivDYVGYEohqHrjcsMBQpYqwBM/view?usp=sharing","PANORAMA DO CRESCIMENTO ECONÔMICO DA PETROBRÁS: UM ESTUDO DE CASO APÓS A QUEBRA DO MONOPÓLIO ESTATAL")</f>
        <v>PANORAMA DO CRESCIMENTO ECONÔMICO DA PETROBRÁS: UM ESTUDO DE CASO APÓS A QUEBRA DO MONOPÓLIO ESTATAL</v>
      </c>
      <c r="C28" s="33" t="s">
        <v>61</v>
      </c>
      <c r="D28" s="33" t="s">
        <v>103</v>
      </c>
      <c r="E28" s="33" t="s">
        <v>104</v>
      </c>
      <c r="F28" s="33" t="s">
        <v>105</v>
      </c>
      <c r="G28" s="34">
        <v>38321.0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30"/>
      <c r="U28" s="30"/>
      <c r="V28" s="30"/>
      <c r="W28" s="30"/>
      <c r="X28" s="30"/>
      <c r="Y28" s="30"/>
      <c r="Z28" s="30"/>
    </row>
    <row r="29" ht="51.0" customHeight="1">
      <c r="A29" s="25" t="s">
        <v>106</v>
      </c>
      <c r="B29" s="26" t="str">
        <f>HYPERLINK("https://drive.google.com/file/d/1e5PuemA5yEArewqB2DtlG0JVq14n9Ek3/view?usp=sharing","ANÁLISE DO CENTRO DE CONVENÇÕES LUÍS EDUARDO MAGALHÃES PARA O DESENVOLVIMENTO DO TURISMO DE EVENTOS EM ILHÉUS-BA.")</f>
        <v>ANÁLISE DO CENTRO DE CONVENÇÕES LUÍS EDUARDO MAGALHÃES PARA O DESENVOLVIMENTO DO TURISMO DE EVENTOS EM ILHÉUS-BA.</v>
      </c>
      <c r="C29" s="27" t="s">
        <v>33</v>
      </c>
      <c r="D29" s="27" t="s">
        <v>107</v>
      </c>
      <c r="E29" s="27" t="s">
        <v>108</v>
      </c>
      <c r="F29" s="27" t="s">
        <v>109</v>
      </c>
      <c r="G29" s="28">
        <v>38321.0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30"/>
      <c r="U29" s="30"/>
      <c r="V29" s="30"/>
      <c r="W29" s="30"/>
      <c r="X29" s="30"/>
      <c r="Y29" s="30"/>
      <c r="Z29" s="30"/>
    </row>
    <row r="30" ht="42.75" customHeight="1">
      <c r="A30" s="31" t="s">
        <v>110</v>
      </c>
      <c r="B30" s="32" t="str">
        <f>HYPERLINK("https://drive.google.com/file/d/1NxUR8FBXPi6b5k00Nx9dm-GPqso-q-Pb/view?usp=sharing","O EFEITO DA IMPLANTAÇÃO DO SHOPPING JEQUITIBÁ NO COMÉRCIO VAREJISTA TRADICIONAL DE ITABUNA, BAHIA.")</f>
        <v>O EFEITO DA IMPLANTAÇÃO DO SHOPPING JEQUITIBÁ NO COMÉRCIO VAREJISTA TRADICIONAL DE ITABUNA, BAHIA.</v>
      </c>
      <c r="C30" s="33" t="s">
        <v>111</v>
      </c>
      <c r="D30" s="33" t="s">
        <v>112</v>
      </c>
      <c r="E30" s="33" t="s">
        <v>113</v>
      </c>
      <c r="F30" s="33" t="s">
        <v>114</v>
      </c>
      <c r="G30" s="34">
        <v>38188.0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0"/>
      <c r="U30" s="30"/>
      <c r="V30" s="30"/>
      <c r="W30" s="30"/>
      <c r="X30" s="30"/>
      <c r="Y30" s="30"/>
      <c r="Z30" s="30"/>
    </row>
    <row r="31" ht="28.5" customHeight="1">
      <c r="A31" s="25" t="s">
        <v>115</v>
      </c>
      <c r="B31" s="26" t="str">
        <f>HYPERLINK("https://drive.google.com/file/d/1_GY0tB4GW3FIV2zFeomAZZpgeFw3UxIf/view?usp=sharing","O PERFIL DO CONSUMIDOR DA CENTRAL DE ABASTECIMENTO DO MALHADO EM ILHÉUS/BA")</f>
        <v>O PERFIL DO CONSUMIDOR DA CENTRAL DE ABASTECIMENTO DO MALHADO EM ILHÉUS/BA</v>
      </c>
      <c r="C31" s="27" t="s">
        <v>116</v>
      </c>
      <c r="D31" s="27" t="s">
        <v>117</v>
      </c>
      <c r="E31" s="27" t="s">
        <v>118</v>
      </c>
      <c r="F31" s="27" t="s">
        <v>119</v>
      </c>
      <c r="G31" s="28">
        <v>38322.0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30"/>
      <c r="U31" s="30"/>
      <c r="V31" s="30"/>
      <c r="W31" s="30"/>
      <c r="X31" s="30"/>
      <c r="Y31" s="30"/>
      <c r="Z31" s="30"/>
    </row>
    <row r="32" ht="42.75" customHeight="1">
      <c r="A32" s="31" t="s">
        <v>120</v>
      </c>
      <c r="B32" s="32" t="str">
        <f>HYPERLINK("https://drive.google.com/file/d/1Lr15U5ase_HN6c_RE37n-emd8tlaJONG/view?usp=sharing","VIABILIDADE FINANCEIRA DA SERINGUEIRA NO MUNICÍPIO DE UNA")</f>
        <v>VIABILIDADE FINANCEIRA DA SERINGUEIRA NO MUNICÍPIO DE UNA</v>
      </c>
      <c r="C32" s="33" t="s">
        <v>56</v>
      </c>
      <c r="D32" s="33" t="s">
        <v>121</v>
      </c>
      <c r="E32" s="33" t="s">
        <v>122</v>
      </c>
      <c r="F32" s="33" t="s">
        <v>123</v>
      </c>
      <c r="G32" s="34">
        <v>38321.0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  <c r="T32" s="30"/>
      <c r="U32" s="30"/>
      <c r="V32" s="30"/>
      <c r="W32" s="30"/>
      <c r="X32" s="30"/>
      <c r="Y32" s="30"/>
      <c r="Z32" s="30"/>
    </row>
    <row r="33" ht="28.5" customHeight="1">
      <c r="A33" s="25" t="s">
        <v>124</v>
      </c>
      <c r="B33" s="26" t="str">
        <f>HYPERLINK("https://drive.google.com/file/d/1dnX2CSFrrSEX_cfvI4fUsKW9b51sqewD/view?usp=sharing","QUALIFICAÇÃO DA MÃO–DE–OBRA DOS MEIOS DE HOSPEDAGEM DE CANAVIEIRAS - BAHIA")</f>
        <v>QUALIFICAÇÃO DA MÃO–DE–OBRA DOS MEIOS DE HOSPEDAGEM DE CANAVIEIRAS - BAHIA</v>
      </c>
      <c r="C33" s="27" t="s">
        <v>33</v>
      </c>
      <c r="D33" s="27" t="s">
        <v>125</v>
      </c>
      <c r="E33" s="27" t="s">
        <v>126</v>
      </c>
      <c r="F33" s="27" t="s">
        <v>109</v>
      </c>
      <c r="G33" s="28">
        <v>38140.0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0"/>
      <c r="T33" s="30"/>
      <c r="U33" s="30"/>
      <c r="V33" s="30"/>
      <c r="W33" s="30"/>
      <c r="X33" s="30"/>
      <c r="Y33" s="30"/>
      <c r="Z33" s="30"/>
    </row>
    <row r="34" ht="28.5" customHeight="1">
      <c r="A34" s="31" t="s">
        <v>127</v>
      </c>
      <c r="B34" s="32" t="str">
        <f>HYPERLINK("https://drive.google.com/file/d/1uGyC71Baxo4lZV2vKMFrPZZC3mVgHXzA/view?usp=sharing","ANÁLISE DO PERFIL DO TURISTA DE ITACARÉ-BAHIA PERÍODO 1999 - 2003")</f>
        <v>ANÁLISE DO PERFIL DO TURISTA DE ITACARÉ-BAHIA PERÍODO 1999 - 2003</v>
      </c>
      <c r="C34" s="33" t="s">
        <v>33</v>
      </c>
      <c r="D34" s="33" t="s">
        <v>128</v>
      </c>
      <c r="E34" s="33" t="s">
        <v>129</v>
      </c>
      <c r="F34" s="33" t="s">
        <v>109</v>
      </c>
      <c r="G34" s="34">
        <v>38321.0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30"/>
      <c r="U34" s="30"/>
      <c r="V34" s="30"/>
      <c r="W34" s="30"/>
      <c r="X34" s="30"/>
      <c r="Y34" s="30"/>
      <c r="Z34" s="30"/>
    </row>
    <row r="35" ht="38.25" customHeight="1">
      <c r="A35" s="25" t="s">
        <v>130</v>
      </c>
      <c r="B35" s="26" t="str">
        <f>HYPERLINK("https://drive.google.com/file/d/1z1y88BqUZVisRJOek-wuegRzEkeB0G4s/view?usp=sharing","UMA ANÁLISE SOCIOECONÔMICA DO ASSENTAMENTO RURAL NOVA VITÓRIA NO MUNICÍPIO DE ILHÉUS, BA")</f>
        <v>UMA ANÁLISE SOCIOECONÔMICA DO ASSENTAMENTO RURAL NOVA VITÓRIA NO MUNICÍPIO DE ILHÉUS, BA</v>
      </c>
      <c r="C35" s="27" t="s">
        <v>61</v>
      </c>
      <c r="D35" s="27" t="s">
        <v>131</v>
      </c>
      <c r="E35" s="27" t="s">
        <v>132</v>
      </c>
      <c r="F35" s="27" t="s">
        <v>16</v>
      </c>
      <c r="G35" s="28">
        <v>38184.0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  <c r="T35" s="30"/>
      <c r="U35" s="30"/>
      <c r="V35" s="30"/>
      <c r="W35" s="30"/>
      <c r="X35" s="30"/>
      <c r="Y35" s="30"/>
      <c r="Z35" s="30"/>
    </row>
    <row r="36" ht="42.75" customHeight="1">
      <c r="A36" s="31" t="s">
        <v>133</v>
      </c>
      <c r="B36" s="32" t="str">
        <f>HYPERLINK("https://drive.google.com/file/d/1QyhUHDExd5Bixm8xNtxmKYBL-nar8W4s/view?usp=sharing","ANÁLISE DOS IMPACTOS DO PLANO REAL SOBRE O MERCADO DE LEITE IN NATURA DO BRASIL NO PERÍODO DE 1994 A 2003")</f>
        <v>ANÁLISE DOS IMPACTOS DO PLANO REAL SOBRE O MERCADO DE LEITE IN NATURA DO BRASIL NO PERÍODO DE 1994 A 2003</v>
      </c>
      <c r="C36" s="33" t="s">
        <v>13</v>
      </c>
      <c r="D36" s="33" t="s">
        <v>134</v>
      </c>
      <c r="E36" s="33" t="s">
        <v>135</v>
      </c>
      <c r="F36" s="33" t="s">
        <v>88</v>
      </c>
      <c r="G36" s="34">
        <v>38397.0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30"/>
      <c r="U36" s="30"/>
      <c r="V36" s="30"/>
      <c r="W36" s="30"/>
      <c r="X36" s="30"/>
      <c r="Y36" s="30"/>
      <c r="Z36" s="30"/>
    </row>
    <row r="37" ht="43.5" customHeight="1">
      <c r="A37" s="25" t="s">
        <v>136</v>
      </c>
      <c r="B37" s="26" t="str">
        <f>HYPERLINK("https://drive.google.com/file/d/1GE4FBlNvi5Fw5jA6P3l0eqxKP2HiIRts/view?usp=sharing","ANÁLISE DO PADRÃO DE VIDA DOS APOSENTADOS DO MUNICÍPIO DE UNA – ESTADO DA BAHIA")</f>
        <v>ANÁLISE DO PADRÃO DE VIDA DOS APOSENTADOS DO MUNICÍPIO DE UNA – ESTADO DA BAHIA</v>
      </c>
      <c r="C37" s="27" t="s">
        <v>137</v>
      </c>
      <c r="D37" s="27" t="s">
        <v>138</v>
      </c>
      <c r="E37" s="27" t="s">
        <v>139</v>
      </c>
      <c r="F37" s="27" t="s">
        <v>140</v>
      </c>
      <c r="G37" s="28">
        <v>38404.0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0"/>
      <c r="T37" s="30"/>
      <c r="U37" s="30"/>
      <c r="V37" s="30"/>
      <c r="W37" s="30"/>
      <c r="X37" s="30"/>
      <c r="Y37" s="30"/>
      <c r="Z37" s="30"/>
    </row>
    <row r="38" ht="50.25" customHeight="1">
      <c r="A38" s="31" t="s">
        <v>141</v>
      </c>
      <c r="B38" s="32" t="str">
        <f>HYPERLINK("https://drive.google.com/file/d/1_2i0obnFiSAlShp7ZRylWAaHdJCbJW6t/view?usp=sharing","ANÁLISE SÓCIO-ECONÔMICA DO DISTRITO DE COMANDATUBA, MUNICÍPIO DE UNA/BA, FRENTE A CONSTRUÇÃO DO HOTEL TRANSAMÉRICA")</f>
        <v>ANÁLISE SÓCIO-ECONÔMICA DO DISTRITO DE COMANDATUBA, MUNICÍPIO DE UNA/BA, FRENTE A CONSTRUÇÃO DO HOTEL TRANSAMÉRICA</v>
      </c>
      <c r="C38" s="33" t="s">
        <v>33</v>
      </c>
      <c r="D38" s="33" t="s">
        <v>142</v>
      </c>
      <c r="E38" s="33" t="s">
        <v>143</v>
      </c>
      <c r="F38" s="33" t="s">
        <v>68</v>
      </c>
      <c r="G38" s="34">
        <v>38656.0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42.75" customHeight="1">
      <c r="A39" s="25" t="s">
        <v>144</v>
      </c>
      <c r="B39" s="26" t="str">
        <f>HYPERLINK("https://drive.google.com/file/d/1pPfmb2CFTihd5jGbBaYuHkaHyzSuJflY/view?usp=sharing","VIABILIDADE ECONÔMICA E FINANCEIRA PARA A IMPLANTAÇÃO DE UMA FARMÁCIA DE MANIPULAÇÃO NO MUNICÍPIO DE ILHÉUS.")</f>
        <v>VIABILIDADE ECONÔMICA E FINANCEIRA PARA A IMPLANTAÇÃO DE UMA FARMÁCIA DE MANIPULAÇÃO NO MUNICÍPIO DE ILHÉUS.</v>
      </c>
      <c r="C39" s="27" t="s">
        <v>56</v>
      </c>
      <c r="D39" s="27" t="s">
        <v>145</v>
      </c>
      <c r="E39" s="27" t="s">
        <v>146</v>
      </c>
      <c r="F39" s="27" t="s">
        <v>147</v>
      </c>
      <c r="G39" s="28">
        <v>38653.0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0"/>
      <c r="T39" s="30"/>
      <c r="U39" s="30"/>
      <c r="V39" s="30"/>
      <c r="W39" s="30"/>
      <c r="X39" s="30"/>
      <c r="Y39" s="30"/>
      <c r="Z39" s="30"/>
    </row>
    <row r="40" ht="57.0" customHeight="1">
      <c r="A40" s="31" t="s">
        <v>148</v>
      </c>
      <c r="B40" s="32" t="str">
        <f>HYPERLINK("https://drive.google.com/file/d/19q_h_G5H0cCVIfsZlKvcF3-QTfj0_cbL/view?usp=sharing","ANÁLISE DAS CONTAS PÚBLICAS DO MUNICÍPIO DE UNA NO PERÍODO 1997-2004")</f>
        <v>ANÁLISE DAS CONTAS PÚBLICAS DO MUNICÍPIO DE UNA NO PERÍODO 1997-2004</v>
      </c>
      <c r="C40" s="33" t="s">
        <v>23</v>
      </c>
      <c r="D40" s="33" t="s">
        <v>149</v>
      </c>
      <c r="E40" s="33" t="s">
        <v>150</v>
      </c>
      <c r="F40" s="33" t="s">
        <v>16</v>
      </c>
      <c r="G40" s="34">
        <v>38651.0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0"/>
      <c r="T40" s="30"/>
      <c r="U40" s="30"/>
      <c r="V40" s="30"/>
      <c r="W40" s="30"/>
      <c r="X40" s="30"/>
      <c r="Y40" s="30"/>
      <c r="Z40" s="30"/>
    </row>
    <row r="41" ht="28.5" customHeight="1">
      <c r="A41" s="25" t="s">
        <v>151</v>
      </c>
      <c r="B41" s="26" t="str">
        <f>HYPERLINK("https://drive.google.com/file/d/14u9wKwGCwht5j59EwdCGA-9hGvdi-H6M/view?usp=sharing","ANÁLISE FINANCEIRA DA UNICRED REGIÃO SUL DA BAHIA NO PERÍODO DE 1998 A 2003")</f>
        <v>ANÁLISE FINANCEIRA DA UNICRED REGIÃO SUL DA BAHIA NO PERÍODO DE 1998 A 2003</v>
      </c>
      <c r="C41" s="27" t="s">
        <v>70</v>
      </c>
      <c r="D41" s="27" t="s">
        <v>152</v>
      </c>
      <c r="E41" s="27" t="s">
        <v>153</v>
      </c>
      <c r="F41" s="27" t="s">
        <v>16</v>
      </c>
      <c r="G41" s="28">
        <v>38660.0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0"/>
      <c r="T41" s="30"/>
      <c r="U41" s="30"/>
      <c r="V41" s="30"/>
      <c r="W41" s="30"/>
      <c r="X41" s="30"/>
      <c r="Y41" s="30"/>
      <c r="Z41" s="30"/>
    </row>
    <row r="42" ht="51.0" customHeight="1">
      <c r="A42" s="31" t="s">
        <v>154</v>
      </c>
      <c r="B42" s="32" t="str">
        <f>HYPERLINK("https://drive.google.com/file/d/1PzTF3sWNduc-voJjCDHmzPmtGe-hSpoU/view?usp=sharing","A VANTAGEM DA APLICAÇÃO DA PROGRESSIVIDADE DO IMPOSTO PREDIAL E TERRITORIAL URBANO (IPTU) NO MUNICÍPIO DE EUNÁPOLIS")</f>
        <v>A VANTAGEM DA APLICAÇÃO DA PROGRESSIVIDADE DO IMPOSTO PREDIAL E TERRITORIAL URBANO (IPTU) NO MUNICÍPIO DE EUNÁPOLIS</v>
      </c>
      <c r="C42" s="33" t="s">
        <v>96</v>
      </c>
      <c r="D42" s="33" t="s">
        <v>155</v>
      </c>
      <c r="E42" s="33" t="s">
        <v>156</v>
      </c>
      <c r="F42" s="33" t="s">
        <v>157</v>
      </c>
      <c r="G42" s="36">
        <v>2005.0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30"/>
      <c r="U42" s="30"/>
      <c r="V42" s="30"/>
      <c r="W42" s="30"/>
      <c r="X42" s="30"/>
      <c r="Y42" s="30"/>
      <c r="Z42" s="30"/>
    </row>
    <row r="43" ht="42.75" customHeight="1">
      <c r="A43" s="25" t="s">
        <v>158</v>
      </c>
      <c r="B43" s="26" t="str">
        <f>HYPERLINK("https://drive.google.com/file/d/1BnLhW8oZk8NGfkGv7Cr8-f4_3UBHZwV4/view?usp=sharing","A UTILIZAÇÃO DO CONCEITO DE RACIONALIDADE NA TEORIA NEOCLÁSSICA, POR KEYNES E NA TEORIA NOVO-CLÁSSICA")</f>
        <v>A UTILIZAÇÃO DO CONCEITO DE RACIONALIDADE NA TEORIA NEOCLÁSSICA, POR KEYNES E NA TEORIA NOVO-CLÁSSICA</v>
      </c>
      <c r="C43" s="27" t="s">
        <v>159</v>
      </c>
      <c r="D43" s="27" t="s">
        <v>160</v>
      </c>
      <c r="E43" s="27" t="s">
        <v>161</v>
      </c>
      <c r="F43" s="27" t="s">
        <v>162</v>
      </c>
      <c r="G43" s="28">
        <v>38657.0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0"/>
      <c r="T43" s="30"/>
      <c r="U43" s="30"/>
      <c r="V43" s="30"/>
      <c r="W43" s="30"/>
      <c r="X43" s="30"/>
      <c r="Y43" s="30"/>
      <c r="Z43" s="30"/>
    </row>
    <row r="44" ht="28.5" customHeight="1">
      <c r="A44" s="37">
        <v>38534.0</v>
      </c>
      <c r="B44" s="32" t="str">
        <f>HYPERLINK("https://drive.google.com/file/d/13zUJ3VSxxfR1cRW9rC8oxHKLe7ppiXhu/view?usp=sharing","O IDOSO NO MERCADO DE TRABALHO INFORMAL EM ITABUNA, BAHIA")</f>
        <v>O IDOSO NO MERCADO DE TRABALHO INFORMAL EM ITABUNA, BAHIA</v>
      </c>
      <c r="C44" s="33" t="s">
        <v>18</v>
      </c>
      <c r="D44" s="33" t="s">
        <v>163</v>
      </c>
      <c r="E44" s="33" t="s">
        <v>164</v>
      </c>
      <c r="F44" s="33" t="s">
        <v>165</v>
      </c>
      <c r="G44" s="34">
        <v>38378.0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0"/>
      <c r="T44" s="30"/>
      <c r="U44" s="30"/>
      <c r="V44" s="30"/>
      <c r="W44" s="30"/>
      <c r="X44" s="30"/>
      <c r="Y44" s="30"/>
      <c r="Z44" s="30"/>
    </row>
    <row r="45" ht="85.5" customHeight="1">
      <c r="A45" s="25" t="s">
        <v>166</v>
      </c>
      <c r="B45" s="26" t="str">
        <f>HYPERLINK("https://drive.google.com/file/d/1rzc5Hm-Qev2hNCN9DsYsItQrQziCRPaC/view?usp=sharing","ANÁLISES COMPARATIVAS ENTRE AS ESCOLAS CLÁSSICA, NEOCLÁSSICA, MONETARISTA, NOVO - CLÁSSICA NOVA – KEYNESIANA E PÓS - KEYNESIANA")</f>
        <v>ANÁLISES COMPARATIVAS ENTRE AS ESCOLAS CLÁSSICA, NEOCLÁSSICA, MONETARISTA, NOVO - CLÁSSICA NOVA – KEYNESIANA E PÓS - KEYNESIANA</v>
      </c>
      <c r="C45" s="27" t="s">
        <v>167</v>
      </c>
      <c r="D45" s="27" t="s">
        <v>168</v>
      </c>
      <c r="E45" s="27" t="s">
        <v>169</v>
      </c>
      <c r="F45" s="27" t="s">
        <v>170</v>
      </c>
      <c r="G45" s="28">
        <v>38610.0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  <c r="T45" s="30"/>
      <c r="U45" s="30"/>
      <c r="V45" s="30"/>
      <c r="W45" s="30"/>
      <c r="X45" s="30"/>
      <c r="Y45" s="30"/>
      <c r="Z45" s="30"/>
    </row>
    <row r="46" ht="71.25" customHeight="1">
      <c r="A46" s="31" t="s">
        <v>171</v>
      </c>
      <c r="B46" s="32" t="str">
        <f>HYPERLINK("https://drive.google.com/file/d/1UtI8-beBjo3abBi_zROvH2CEF6SZuP08/view?usp=sharing","AVALIAÇÃO SOCIOECONÔMICA DOS BADAMEIROS QUE ATUAM NO ATERRO SANITÁRIO DE ILHÉUS")</f>
        <v>AVALIAÇÃO SOCIOECONÔMICA DOS BADAMEIROS QUE ATUAM NO ATERRO SANITÁRIO DE ILHÉUS</v>
      </c>
      <c r="C46" s="33" t="s">
        <v>137</v>
      </c>
      <c r="D46" s="33" t="s">
        <v>172</v>
      </c>
      <c r="E46" s="33" t="s">
        <v>173</v>
      </c>
      <c r="F46" s="33" t="s">
        <v>123</v>
      </c>
      <c r="G46" s="34">
        <v>38686.0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0"/>
      <c r="T46" s="30"/>
      <c r="U46" s="30"/>
      <c r="V46" s="30"/>
      <c r="W46" s="30"/>
      <c r="X46" s="30"/>
      <c r="Y46" s="30"/>
      <c r="Z46" s="30"/>
    </row>
    <row r="47" ht="42.75" customHeight="1">
      <c r="A47" s="25" t="s">
        <v>174</v>
      </c>
      <c r="B47" s="26" t="str">
        <f>HYPERLINK("https://drive.google.com/file/d/19ouE6ylTNiKt6awrIJAaV5M_8eiLUdTr/view?usp=sharing","VIABILIDADE ECONÔMICO E FINANCEIRA PARA INSTALAÇÃO DE UMA PET SHOP EM ILHÉUS - BA")</f>
        <v>VIABILIDADE ECONÔMICO E FINANCEIRA PARA INSTALAÇÃO DE UMA PET SHOP EM ILHÉUS - BA</v>
      </c>
      <c r="C47" s="27" t="s">
        <v>56</v>
      </c>
      <c r="D47" s="27" t="s">
        <v>175</v>
      </c>
      <c r="E47" s="27" t="s">
        <v>176</v>
      </c>
      <c r="F47" s="27" t="s">
        <v>88</v>
      </c>
      <c r="G47" s="28">
        <v>38656.0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  <c r="W47" s="30"/>
      <c r="X47" s="30"/>
      <c r="Y47" s="30"/>
      <c r="Z47" s="30"/>
    </row>
    <row r="48" ht="51.0" customHeight="1">
      <c r="A48" s="31" t="s">
        <v>177</v>
      </c>
      <c r="B48" s="32" t="str">
        <f>HYPERLINK("https://drive.google.com/file/d/1fZWDq9PStji5IPioJ38bRjsz-1NT-TYK/view?usp=sharing","O SETOR DE SERVIÇOS: DELINEAMENTO TEÓRICO, CRESCIMENTO E APLICABILIDADE DA LEI DE ENGEL NA ECONOMIA BRASILEIRA NO PERÍODO DE 1990 A 2003")</f>
        <v>O SETOR DE SERVIÇOS: DELINEAMENTO TEÓRICO, CRESCIMENTO E APLICABILIDADE DA LEI DE ENGEL NA ECONOMIA BRASILEIRA NO PERÍODO DE 1990 A 2003</v>
      </c>
      <c r="C48" s="33" t="s">
        <v>111</v>
      </c>
      <c r="D48" s="33" t="s">
        <v>178</v>
      </c>
      <c r="E48" s="33" t="s">
        <v>179</v>
      </c>
      <c r="F48" s="33" t="s">
        <v>180</v>
      </c>
      <c r="G48" s="34">
        <v>38406.0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0"/>
      <c r="T48" s="30"/>
      <c r="U48" s="30"/>
      <c r="V48" s="30"/>
      <c r="W48" s="30"/>
      <c r="X48" s="30"/>
      <c r="Y48" s="30"/>
      <c r="Z48" s="30"/>
    </row>
    <row r="49" ht="57.0" customHeight="1">
      <c r="A49" s="25" t="s">
        <v>181</v>
      </c>
      <c r="B49" s="26" t="str">
        <f>HYPERLINK("https://drive.google.com/file/d/1MOF8bPMWxex52KgEd8cTPdckBJZWHypJ/view?usp=sharing","ASPECTOS DA POLÍTICA HABITACIONAL BRASILEIRA: HABITAÇÃO DE INTERESSE SOCIAL EM ITABUNA")</f>
        <v>ASPECTOS DA POLÍTICA HABITACIONAL BRASILEIRA: HABITAÇÃO DE INTERESSE SOCIAL EM ITABUNA</v>
      </c>
      <c r="C49" s="27" t="s">
        <v>23</v>
      </c>
      <c r="D49" s="27" t="s">
        <v>182</v>
      </c>
      <c r="E49" s="27" t="s">
        <v>183</v>
      </c>
      <c r="F49" s="27" t="s">
        <v>184</v>
      </c>
      <c r="G49" s="28">
        <v>38686.0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0"/>
      <c r="T49" s="30"/>
      <c r="U49" s="30"/>
      <c r="V49" s="30"/>
      <c r="W49" s="30"/>
      <c r="X49" s="30"/>
      <c r="Y49" s="30"/>
      <c r="Z49" s="30"/>
    </row>
    <row r="50" ht="42.75" customHeight="1">
      <c r="A50" s="31" t="s">
        <v>185</v>
      </c>
      <c r="B50" s="32" t="str">
        <f>HYPERLINK("https://drive.google.com/file/d/1o8GCCbAIFxs6_ey0zFbj_4WvzZRavtLJ/view?usp=sharing","UMA ANÁLISE DAS TRANSFORMAÇÕES ECONÔMICAS DO GOVERNO GETÚLIO VARGAS")</f>
        <v>UMA ANÁLISE DAS TRANSFORMAÇÕES ECONÔMICAS DO GOVERNO GETÚLIO VARGAS</v>
      </c>
      <c r="C50" s="33" t="s">
        <v>52</v>
      </c>
      <c r="D50" s="33" t="s">
        <v>186</v>
      </c>
      <c r="E50" s="33" t="s">
        <v>187</v>
      </c>
      <c r="F50" s="33" t="s">
        <v>16</v>
      </c>
      <c r="G50" s="34">
        <v>38819.0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0"/>
      <c r="T50" s="30"/>
      <c r="U50" s="30"/>
      <c r="V50" s="30"/>
      <c r="W50" s="30"/>
      <c r="X50" s="30"/>
      <c r="Y50" s="30"/>
      <c r="Z50" s="30"/>
    </row>
    <row r="51" ht="42.75" customHeight="1">
      <c r="A51" s="25" t="s">
        <v>188</v>
      </c>
      <c r="B51" s="26" t="str">
        <f>HYPERLINK("https://drive.google.com/file/d/1o0yg9m8juB_t4PY2Rknm7T7wJG2INBCx/view?usp=sharing","AVALIAÇÃO DA CREDIBILIDADE DA POLÍTICA MONETÁRIA BRASILEIRA APÓS A ADOÇÃO DO REGIME DE METAS DE INFLAÇÃO")</f>
        <v>AVALIAÇÃO DA CREDIBILIDADE DA POLÍTICA MONETÁRIA BRASILEIRA APÓS A ADOÇÃO DO REGIME DE METAS DE INFLAÇÃO</v>
      </c>
      <c r="C51" s="27" t="s">
        <v>13</v>
      </c>
      <c r="D51" s="27" t="s">
        <v>189</v>
      </c>
      <c r="E51" s="27" t="s">
        <v>190</v>
      </c>
      <c r="F51" s="27" t="s">
        <v>170</v>
      </c>
      <c r="G51" s="28">
        <v>38617.0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  <c r="T51" s="30"/>
      <c r="U51" s="30"/>
      <c r="V51" s="30"/>
      <c r="W51" s="30"/>
      <c r="X51" s="30"/>
      <c r="Y51" s="30"/>
      <c r="Z51" s="30"/>
    </row>
    <row r="52" ht="57.0" customHeight="1">
      <c r="A52" s="31" t="s">
        <v>191</v>
      </c>
      <c r="B52" s="32" t="str">
        <f>HYPERLINK("https://drive.google.com/file/d/1FsWbtH3X9pQembVhr_srmmnKVjhi_wYu/view?usp=sharing","ESTUDO SOBRE O CONSUMO BRASILEIRO NO PERÍODO DO PLANO REAL: UMA ANÁLISE EMPÍRICA. ")</f>
        <v>ESTUDO SOBRE O CONSUMO BRASILEIRO NO PERÍODO DO PLANO REAL: UMA ANÁLISE EMPÍRICA. </v>
      </c>
      <c r="C52" s="33" t="s">
        <v>13</v>
      </c>
      <c r="D52" s="33" t="s">
        <v>192</v>
      </c>
      <c r="E52" s="33" t="s">
        <v>193</v>
      </c>
      <c r="F52" s="33" t="s">
        <v>88</v>
      </c>
      <c r="G52" s="34">
        <v>38634.0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0"/>
      <c r="T52" s="30"/>
      <c r="U52" s="30"/>
      <c r="V52" s="30"/>
      <c r="W52" s="30"/>
      <c r="X52" s="30"/>
      <c r="Y52" s="30"/>
      <c r="Z52" s="30"/>
    </row>
    <row r="53" ht="38.25" customHeight="1">
      <c r="A53" s="25" t="s">
        <v>194</v>
      </c>
      <c r="B53" s="26" t="str">
        <f>HYPERLINK("https://drive.google.com/file/d/1XD8pTouSy8_kO5Db5IRtf3kGoq3qsRkw/view?usp=sharing","REGIÃO CACAUEIRA DA BAHIA: UMA INTERPRETAÇÃO A PARTIR DA VISÃO DA ELITE REGIONAL, NO PERÍODO DE 1965 A 1980")</f>
        <v>REGIÃO CACAUEIRA DA BAHIA: UMA INTERPRETAÇÃO A PARTIR DA VISÃO DA ELITE REGIONAL, NO PERÍODO DE 1965 A 1980</v>
      </c>
      <c r="C53" s="27" t="s">
        <v>195</v>
      </c>
      <c r="D53" s="27" t="s">
        <v>196</v>
      </c>
      <c r="E53" s="27" t="s">
        <v>197</v>
      </c>
      <c r="F53" s="27" t="s">
        <v>162</v>
      </c>
      <c r="G53" s="28">
        <v>38645.0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0"/>
      <c r="T53" s="30"/>
      <c r="U53" s="30"/>
      <c r="V53" s="30"/>
      <c r="W53" s="30"/>
      <c r="X53" s="30"/>
      <c r="Y53" s="30"/>
      <c r="Z53" s="30"/>
    </row>
    <row r="54" ht="71.25" customHeight="1">
      <c r="A54" s="31" t="s">
        <v>198</v>
      </c>
      <c r="B54" s="32" t="str">
        <f>HYPERLINK("https://drive.google.com/file/d/10Tw6Ae-d9i1XdPT1Qw8Z7Pp0vDfheZwd/view?usp=sharing","DETERMINANTES DA DEMANDA POR MOEDA NO BRASIL, NO PERÍODO: 1995 - 2002")</f>
        <v>DETERMINANTES DA DEMANDA POR MOEDA NO BRASIL, NO PERÍODO: 1995 - 2002</v>
      </c>
      <c r="C54" s="33" t="s">
        <v>13</v>
      </c>
      <c r="D54" s="33" t="s">
        <v>199</v>
      </c>
      <c r="E54" s="33" t="s">
        <v>200</v>
      </c>
      <c r="F54" s="33" t="s">
        <v>201</v>
      </c>
      <c r="G54" s="34">
        <v>38629.0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30"/>
      <c r="T54" s="30"/>
      <c r="U54" s="30"/>
      <c r="V54" s="30"/>
      <c r="W54" s="30"/>
      <c r="X54" s="30"/>
      <c r="Y54" s="30"/>
      <c r="Z54" s="30"/>
    </row>
    <row r="55" ht="42.75" customHeight="1">
      <c r="A55" s="25" t="s">
        <v>202</v>
      </c>
      <c r="B55" s="26" t="str">
        <f>HYPERLINK("https://drive.google.com/file/d/1Ct1fMV9AMq5C4GhNs4N_3AGDZeiTwUWM/view?usp=sharing","VIABILIDADE ECONÔMICO FINANCEIRA DA CRIAÇÃO DE AVESTRUZ NO MUNICÍPIO DE UNA-BAHIA")</f>
        <v>VIABILIDADE ECONÔMICO FINANCEIRA DA CRIAÇÃO DE AVESTRUZ NO MUNICÍPIO DE UNA-BAHIA</v>
      </c>
      <c r="C55" s="27" t="s">
        <v>56</v>
      </c>
      <c r="D55" s="27" t="s">
        <v>203</v>
      </c>
      <c r="E55" s="27" t="s">
        <v>204</v>
      </c>
      <c r="F55" s="27" t="s">
        <v>205</v>
      </c>
      <c r="G55" s="28">
        <v>38659.0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0"/>
      <c r="T55" s="30"/>
      <c r="U55" s="30"/>
      <c r="V55" s="30"/>
      <c r="W55" s="30"/>
      <c r="X55" s="30"/>
      <c r="Y55" s="30"/>
      <c r="Z55" s="30"/>
    </row>
    <row r="56" ht="42.75" customHeight="1">
      <c r="A56" s="31" t="s">
        <v>206</v>
      </c>
      <c r="B56" s="32" t="str">
        <f>HYPERLINK("https://drive.google.com/file/d/1pZehF9CpLf4jAQ-9wb2AnToDOb2mWTrJ/view?usp=sharing","O PROGRAMA DE PESQUISA DE LAKATOS: UMA INTERPRETAÇÃO DAS ESCOLAS MARXISTA, NEOCLÁSSICA E KEYNESIANA")</f>
        <v>O PROGRAMA DE PESQUISA DE LAKATOS: UMA INTERPRETAÇÃO DAS ESCOLAS MARXISTA, NEOCLÁSSICA E KEYNESIANA</v>
      </c>
      <c r="C56" s="33" t="s">
        <v>207</v>
      </c>
      <c r="D56" s="33" t="s">
        <v>208</v>
      </c>
      <c r="E56" s="33" t="s">
        <v>209</v>
      </c>
      <c r="F56" s="33" t="s">
        <v>162</v>
      </c>
      <c r="G56" s="34">
        <v>38398.0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0"/>
      <c r="T56" s="30"/>
      <c r="U56" s="30"/>
      <c r="V56" s="30"/>
      <c r="W56" s="30"/>
      <c r="X56" s="30"/>
      <c r="Y56" s="30"/>
      <c r="Z56" s="30"/>
    </row>
    <row r="57" ht="28.5" customHeight="1">
      <c r="A57" s="25" t="s">
        <v>210</v>
      </c>
      <c r="B57" s="26" t="str">
        <f>HYPERLINK("https://drive.google.com/file/d/1WFonp4xCvh302DxkpYni-_TrMkw49l9r/view?usp=sharing","A ECONOMIA INFORMAL EM ITABUNA: O CASO DAS MICRO-NEGOCIANTES DE ROUPAS.")</f>
        <v>A ECONOMIA INFORMAL EM ITABUNA: O CASO DAS MICRO-NEGOCIANTES DE ROUPAS.</v>
      </c>
      <c r="C57" s="27" t="s">
        <v>211</v>
      </c>
      <c r="D57" s="27" t="s">
        <v>212</v>
      </c>
      <c r="E57" s="27" t="s">
        <v>213</v>
      </c>
      <c r="F57" s="27" t="s">
        <v>184</v>
      </c>
      <c r="G57" s="28">
        <v>38468.0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0"/>
      <c r="T57" s="30"/>
      <c r="U57" s="30"/>
      <c r="V57" s="30"/>
      <c r="W57" s="30"/>
      <c r="X57" s="30"/>
      <c r="Y57" s="30"/>
      <c r="Z57" s="30"/>
    </row>
    <row r="58" ht="42.75" customHeight="1">
      <c r="A58" s="31" t="s">
        <v>214</v>
      </c>
      <c r="B58" s="32" t="str">
        <f>HYPERLINK("https://drive.google.com/file/d/1w4C7xv2vZDp08qUUy-OadxgsfPjM-oJh/view?usp=sharing","ANÁLISE DO COMPORTAMENTO DOS PREÇOS DA CESTA BÁSICA NAS CIDADES DE ITABUNA E ILHÉUS NO TRIÊNIO 2001 / 2002 / 2003.")</f>
        <v>ANÁLISE DO COMPORTAMENTO DOS PREÇOS DA CESTA BÁSICA NAS CIDADES DE ITABUNA E ILHÉUS NO TRIÊNIO 2001 / 2002 / 2003.</v>
      </c>
      <c r="C58" s="33" t="s">
        <v>116</v>
      </c>
      <c r="D58" s="33" t="s">
        <v>215</v>
      </c>
      <c r="E58" s="33" t="s">
        <v>216</v>
      </c>
      <c r="F58" s="33" t="s">
        <v>26</v>
      </c>
      <c r="G58" s="34">
        <v>38418.0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0"/>
      <c r="T58" s="30"/>
      <c r="U58" s="30"/>
      <c r="V58" s="30"/>
      <c r="W58" s="30"/>
      <c r="X58" s="30"/>
      <c r="Y58" s="30"/>
      <c r="Z58" s="30"/>
    </row>
    <row r="59" ht="51.0" customHeight="1">
      <c r="A59" s="25" t="s">
        <v>217</v>
      </c>
      <c r="B59" s="26" t="str">
        <f>HYPERLINK("https://drive.google.com/file/d/1rwWbctRCoJcgd-mY4uNXjFMxO_baq1F0/view?usp=sharing","ANÁLISE DO PERFIL SÓCIO-ECONÔMICO DOS JOVENS QUE INTEGRAM O PROJETO APRENDENDO A TRABALHAR NA UNIVERSIDADE ESTADUAL DE SANTA CRUZ - UESC")</f>
        <v>ANÁLISE DO PERFIL SÓCIO-ECONÔMICO DOS JOVENS QUE INTEGRAM O PROJETO APRENDENDO A TRABALHAR NA UNIVERSIDADE ESTADUAL DE SANTA CRUZ - UESC</v>
      </c>
      <c r="C59" s="27" t="s">
        <v>137</v>
      </c>
      <c r="D59" s="27" t="s">
        <v>218</v>
      </c>
      <c r="E59" s="27" t="s">
        <v>219</v>
      </c>
      <c r="F59" s="27" t="s">
        <v>220</v>
      </c>
      <c r="G59" s="28">
        <v>38401.0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0"/>
      <c r="T59" s="30"/>
      <c r="U59" s="30"/>
      <c r="V59" s="30"/>
      <c r="W59" s="30"/>
      <c r="X59" s="30"/>
      <c r="Y59" s="30"/>
      <c r="Z59" s="30"/>
    </row>
    <row r="60" ht="28.5" customHeight="1">
      <c r="A60" s="31" t="s">
        <v>221</v>
      </c>
      <c r="B60" s="32" t="str">
        <f>HYPERLINK("https://drive.google.com/file/d/1S6nPvskB8VUdPcXNTtUT9Ig-E74ieXWk/view?usp=sharing","A ECONOMIA DO ALGODÃO NA MICRORREGIÃO DE GUANAMBI, BAHIA")</f>
        <v>A ECONOMIA DO ALGODÃO NA MICRORREGIÃO DE GUANAMBI, BAHIA</v>
      </c>
      <c r="C60" s="33" t="s">
        <v>47</v>
      </c>
      <c r="D60" s="33" t="s">
        <v>222</v>
      </c>
      <c r="E60" s="33" t="s">
        <v>223</v>
      </c>
      <c r="F60" s="33" t="s">
        <v>73</v>
      </c>
      <c r="G60" s="34">
        <v>38659.0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0"/>
      <c r="T60" s="30"/>
      <c r="U60" s="30"/>
      <c r="V60" s="30"/>
      <c r="W60" s="30"/>
      <c r="X60" s="30"/>
      <c r="Y60" s="30"/>
      <c r="Z60" s="30"/>
    </row>
    <row r="61" ht="51.0" customHeight="1">
      <c r="A61" s="25" t="s">
        <v>224</v>
      </c>
      <c r="B61" s="26" t="str">
        <f>HYPERLINK("https://drive.google.com/file/d/1oh_T7mxe4UcerfxZQld7hknFxg8D_VI5/view?usp=sharing","INFLUÊNCIA DE POLÍTICAS AMBIENTAIS NO DESEMPENHO DO SETOR INDUSTRIAL MADEIREIRO DA MICRORREGIÃO DE GANDU - BA")</f>
        <v>INFLUÊNCIA DE POLÍTICAS AMBIENTAIS NO DESEMPENHO DO SETOR INDUSTRIAL MADEIREIRO DA MICRORREGIÃO DE GANDU - BA</v>
      </c>
      <c r="C61" s="27" t="s">
        <v>43</v>
      </c>
      <c r="D61" s="27" t="s">
        <v>225</v>
      </c>
      <c r="E61" s="27" t="s">
        <v>226</v>
      </c>
      <c r="F61" s="27" t="s">
        <v>201</v>
      </c>
      <c r="G61" s="28">
        <v>38685.0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0"/>
      <c r="T61" s="30"/>
      <c r="U61" s="30"/>
      <c r="V61" s="30"/>
      <c r="W61" s="30"/>
      <c r="X61" s="30"/>
      <c r="Y61" s="30"/>
      <c r="Z61" s="30"/>
    </row>
    <row r="62" ht="42.75" customHeight="1">
      <c r="A62" s="31" t="s">
        <v>227</v>
      </c>
      <c r="B62" s="32" t="str">
        <f>HYPERLINK("https://drive.google.com/file/d/170Bl_HdbkpB44-dJjAraS5xF_9ZZsA02/view?usp=sharing","ESTUDO DE VIABILIDADE ECONÔMICO-FINANCEIRA DO CULTIVO DE FLORES TROPICAIS NO MUNICÍPIO DE ILHÉUS-BA")</f>
        <v>ESTUDO DE VIABILIDADE ECONÔMICO-FINANCEIRA DO CULTIVO DE FLORES TROPICAIS NO MUNICÍPIO DE ILHÉUS-BA</v>
      </c>
      <c r="C62" s="33" t="s">
        <v>56</v>
      </c>
      <c r="D62" s="33" t="s">
        <v>228</v>
      </c>
      <c r="E62" s="33" t="s">
        <v>229</v>
      </c>
      <c r="F62" s="33" t="s">
        <v>16</v>
      </c>
      <c r="G62" s="34">
        <v>38650.0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0"/>
      <c r="T62" s="30"/>
      <c r="U62" s="30"/>
      <c r="V62" s="30"/>
      <c r="W62" s="30"/>
      <c r="X62" s="30"/>
      <c r="Y62" s="30"/>
      <c r="Z62" s="30"/>
    </row>
    <row r="63" ht="57.0" customHeight="1">
      <c r="A63" s="25" t="s">
        <v>230</v>
      </c>
      <c r="B63" s="26" t="str">
        <f>HYPERLINK("https://drive.google.com/file/d/13KX4JcdATGh2fa4lyCLtChM8mnk_XwOh/view?usp=sharing","POLÍTICAS MONETÁRIAS E AS ESCOLAS MACROECONÔMICAS")</f>
        <v>POLÍTICAS MONETÁRIAS E AS ESCOLAS MACROECONÔMICAS</v>
      </c>
      <c r="C63" s="27" t="s">
        <v>167</v>
      </c>
      <c r="D63" s="27" t="s">
        <v>231</v>
      </c>
      <c r="E63" s="27" t="s">
        <v>232</v>
      </c>
      <c r="F63" s="27" t="s">
        <v>162</v>
      </c>
      <c r="G63" s="28">
        <v>38400.0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30"/>
      <c r="T63" s="30"/>
      <c r="U63" s="30"/>
      <c r="V63" s="30"/>
      <c r="W63" s="30"/>
      <c r="X63" s="30"/>
      <c r="Y63" s="30"/>
      <c r="Z63" s="30"/>
    </row>
    <row r="64" ht="71.25" customHeight="1">
      <c r="A64" s="31" t="s">
        <v>233</v>
      </c>
      <c r="B64" s="32" t="str">
        <f>HYPERLINK("https://drive.google.com/file/d/10TWVXkXPWR7EvNWo0kQ_69MsrsZ-Y8Z_/view?usp=sharing","O DESENVOLVIMENTO ECONÔMICO DO BRASIL DOS ANOS 50: A VISÃO LIBERAL E A VISÃO DESENVOLVIMENTISTA")</f>
        <v>O DESENVOLVIMENTO ECONÔMICO DO BRASIL DOS ANOS 50: A VISÃO LIBERAL E A VISÃO DESENVOLVIMENTISTA</v>
      </c>
      <c r="C64" s="33" t="s">
        <v>234</v>
      </c>
      <c r="D64" s="33" t="s">
        <v>235</v>
      </c>
      <c r="E64" s="33" t="s">
        <v>236</v>
      </c>
      <c r="F64" s="33" t="s">
        <v>237</v>
      </c>
      <c r="G64" s="34">
        <v>38405.0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0"/>
      <c r="T64" s="30"/>
      <c r="U64" s="30"/>
      <c r="V64" s="30"/>
      <c r="W64" s="30"/>
      <c r="X64" s="30"/>
      <c r="Y64" s="30"/>
      <c r="Z64" s="30"/>
    </row>
    <row r="65" ht="42.75" customHeight="1">
      <c r="A65" s="25" t="s">
        <v>238</v>
      </c>
      <c r="B65" s="26" t="str">
        <f>HYPERLINK("https://drive.google.com/file/d/1bxih3a0LgX3CpB4UDkx0oWucxL3Jz9NK/view?usp=sharing","ANÁLISE DO DESENVOLVIMENTO DO ECOTURISMO NA APA DA LAGOA ENCANTADA – ILHÉUS - BAHIA.")</f>
        <v>ANÁLISE DO DESENVOLVIMENTO DO ECOTURISMO NA APA DA LAGOA ENCANTADA – ILHÉUS - BAHIA.</v>
      </c>
      <c r="C65" s="27" t="s">
        <v>33</v>
      </c>
      <c r="D65" s="27" t="s">
        <v>239</v>
      </c>
      <c r="E65" s="27" t="s">
        <v>240</v>
      </c>
      <c r="F65" s="27" t="s">
        <v>180</v>
      </c>
      <c r="G65" s="28">
        <v>38686.0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30"/>
      <c r="T65" s="30"/>
      <c r="U65" s="30"/>
      <c r="V65" s="30"/>
      <c r="W65" s="30"/>
      <c r="X65" s="30"/>
      <c r="Y65" s="30"/>
      <c r="Z65" s="30"/>
    </row>
    <row r="66" ht="38.25" customHeight="1">
      <c r="A66" s="31" t="s">
        <v>241</v>
      </c>
      <c r="B66" s="32" t="str">
        <f>HYPERLINK("https://drive.google.com/file/d/1Hu6P4lHVfYlGylQSdweTzpp6n7yF3Z0k/view?usp=sharing","PERFIL, PREFERÊNCIAS E MOTIVAÇÕES POR TURISMO DA TERCEIRA IDADE NA REGIÃO SUL DA BAHIA/2005")</f>
        <v>PERFIL, PREFERÊNCIAS E MOTIVAÇÕES POR TURISMO DA TERCEIRA IDADE NA REGIÃO SUL DA BAHIA/2005</v>
      </c>
      <c r="C66" s="33" t="s">
        <v>33</v>
      </c>
      <c r="D66" s="33" t="s">
        <v>242</v>
      </c>
      <c r="E66" s="33" t="s">
        <v>243</v>
      </c>
      <c r="F66" s="33" t="s">
        <v>244</v>
      </c>
      <c r="G66" s="34">
        <v>38646.0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30"/>
      <c r="T66" s="30"/>
      <c r="U66" s="30"/>
      <c r="V66" s="30"/>
      <c r="W66" s="30"/>
      <c r="X66" s="30"/>
      <c r="Y66" s="30"/>
      <c r="Z66" s="30"/>
    </row>
    <row r="67" ht="28.5" customHeight="1">
      <c r="A67" s="25" t="s">
        <v>245</v>
      </c>
      <c r="B67" s="26" t="str">
        <f>HYPERLINK("https://drive.google.com/file/d/10S5PbpZBa7pUkvgCxNEKHzwG4Ia6JfVD/view?usp=sharing","COMERCIALIZAÇÃO DE CUPUAÇU NO MUNICÍPIO DE ILHÉUS-BA")</f>
        <v>COMERCIALIZAÇÃO DE CUPUAÇU NO MUNICÍPIO DE ILHÉUS-BA</v>
      </c>
      <c r="C67" s="27" t="s">
        <v>47</v>
      </c>
      <c r="D67" s="27" t="s">
        <v>246</v>
      </c>
      <c r="E67" s="27" t="s">
        <v>247</v>
      </c>
      <c r="F67" s="27" t="s">
        <v>180</v>
      </c>
      <c r="G67" s="28">
        <v>38386.0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0"/>
      <c r="T67" s="30"/>
      <c r="U67" s="30"/>
      <c r="V67" s="30"/>
      <c r="W67" s="30"/>
      <c r="X67" s="30"/>
      <c r="Y67" s="30"/>
      <c r="Z67" s="30"/>
    </row>
    <row r="68" ht="42.75" customHeight="1">
      <c r="A68" s="31" t="s">
        <v>248</v>
      </c>
      <c r="B68" s="32" t="str">
        <f>HYPERLINK("https://drive.google.com/file/d/1lwebut80Q2xCqD2MmfB8HM0XQOlqUnLS/view?usp=sharing","ESTUDO DO MERCADO CONSUMIDOR PARA IMPLANTAÇÃO DE UM RESTAURANTE POPULAR EM ITABUNA - BAHIA ")</f>
        <v>ESTUDO DO MERCADO CONSUMIDOR PARA IMPLANTAÇÃO DE UM RESTAURANTE POPULAR EM ITABUNA - BAHIA </v>
      </c>
      <c r="C68" s="33" t="s">
        <v>116</v>
      </c>
      <c r="D68" s="33" t="s">
        <v>249</v>
      </c>
      <c r="E68" s="33" t="s">
        <v>250</v>
      </c>
      <c r="F68" s="33" t="s">
        <v>68</v>
      </c>
      <c r="G68" s="34">
        <v>38646.0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30"/>
      <c r="T68" s="30"/>
      <c r="U68" s="30"/>
      <c r="V68" s="30"/>
      <c r="W68" s="30"/>
      <c r="X68" s="30"/>
      <c r="Y68" s="30"/>
      <c r="Z68" s="30"/>
    </row>
    <row r="69" ht="38.25" customHeight="1">
      <c r="A69" s="25" t="s">
        <v>251</v>
      </c>
      <c r="B69" s="26" t="str">
        <f>HYPERLINK("https://drive.google.com/file/d/1kUJD1JY6e1iJAH-0G8u1MuDKbVofIddq/view?usp=sharing","ANÁLISE DA INFLUÊNCIA DA TAXA DE CÂMBIO NAS EXPORTAÇÕES BRASILEIRA NO PERÍODO DE 1990 A 2000")</f>
        <v>ANÁLISE DA INFLUÊNCIA DA TAXA DE CÂMBIO NAS EXPORTAÇÕES BRASILEIRA NO PERÍODO DE 1990 A 2000</v>
      </c>
      <c r="C69" s="27" t="s">
        <v>252</v>
      </c>
      <c r="D69" s="27" t="s">
        <v>253</v>
      </c>
      <c r="E69" s="27" t="s">
        <v>254</v>
      </c>
      <c r="F69" s="27" t="s">
        <v>201</v>
      </c>
      <c r="G69" s="28">
        <v>38411.0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30"/>
      <c r="T69" s="30"/>
      <c r="U69" s="30"/>
      <c r="V69" s="30"/>
      <c r="W69" s="30"/>
      <c r="X69" s="30"/>
      <c r="Y69" s="30"/>
      <c r="Z69" s="30"/>
    </row>
    <row r="70" ht="28.5" customHeight="1">
      <c r="A70" s="31" t="s">
        <v>255</v>
      </c>
      <c r="B70" s="32" t="str">
        <f>HYPERLINK("https://drive.google.com/file/d/1YU_BbCcriq9MnW46VMgs-pmTFnvbxQtI/view?usp=sharing","O MULTIPLICADOR TURÍSTICO DE ITACARÉ - BA: O CASO DOS MEIOS DE HOSPEDAGEM")</f>
        <v>O MULTIPLICADOR TURÍSTICO DE ITACARÉ - BA: O CASO DOS MEIOS DE HOSPEDAGEM</v>
      </c>
      <c r="C70" s="33" t="s">
        <v>33</v>
      </c>
      <c r="D70" s="33" t="s">
        <v>256</v>
      </c>
      <c r="E70" s="33" t="s">
        <v>257</v>
      </c>
      <c r="F70" s="33" t="s">
        <v>180</v>
      </c>
      <c r="G70" s="34">
        <v>38385.0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0"/>
      <c r="T70" s="30"/>
      <c r="U70" s="30"/>
      <c r="V70" s="30"/>
      <c r="W70" s="30"/>
      <c r="X70" s="30"/>
      <c r="Y70" s="30"/>
      <c r="Z70" s="30"/>
    </row>
    <row r="71" ht="42.75" customHeight="1">
      <c r="A71" s="25" t="s">
        <v>258</v>
      </c>
      <c r="B71" s="26" t="str">
        <f>HYPERLINK("https://drive.google.com/file/d/1inkWx0w98-w7oYUPjf6VslRgSxrT6jvn/view?usp=sharing","CARACTERIZAÇÃO DA COMERCIALIZAÇÃO DE PÓLEN APÍCOLA PELA COOPERPÓLEN NO MUNICÍPIO DE CANAVIEIRAS-BAHIA.")</f>
        <v>CARACTERIZAÇÃO DA COMERCIALIZAÇÃO DE PÓLEN APÍCOLA PELA COOPERPÓLEN NO MUNICÍPIO DE CANAVIEIRAS-BAHIA.</v>
      </c>
      <c r="C71" s="27" t="s">
        <v>47</v>
      </c>
      <c r="D71" s="27" t="s">
        <v>259</v>
      </c>
      <c r="E71" s="27" t="s">
        <v>260</v>
      </c>
      <c r="F71" s="27" t="s">
        <v>180</v>
      </c>
      <c r="G71" s="28">
        <v>38652.0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  <c r="T71" s="30"/>
      <c r="U71" s="30"/>
      <c r="V71" s="30"/>
      <c r="W71" s="30"/>
      <c r="X71" s="30"/>
      <c r="Y71" s="30"/>
      <c r="Z71" s="30"/>
    </row>
    <row r="72" ht="42.75" customHeight="1">
      <c r="A72" s="31" t="s">
        <v>261</v>
      </c>
      <c r="B72" s="32" t="str">
        <f>HYPERLINK("https://drive.google.com/file/d/1BS1z-uTDySdxTjpt41_N6jV4V3lQ6HfX/view?usp=sharing","A EVOLUÇÃO DA TEORIA QUANTITATIVA DA MOEDA: DAS CONCEPÇÕES FILOSÓFICAS AO MONETARISMO")</f>
        <v>A EVOLUÇÃO DA TEORIA QUANTITATIVA DA MOEDA: DAS CONCEPÇÕES FILOSÓFICAS AO MONETARISMO</v>
      </c>
      <c r="C72" s="33" t="s">
        <v>13</v>
      </c>
      <c r="D72" s="33" t="s">
        <v>262</v>
      </c>
      <c r="E72" s="33" t="s">
        <v>263</v>
      </c>
      <c r="F72" s="33" t="s">
        <v>162</v>
      </c>
      <c r="G72" s="34">
        <v>38610.0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30"/>
      <c r="T72" s="30"/>
      <c r="U72" s="30"/>
      <c r="V72" s="30"/>
      <c r="W72" s="30"/>
      <c r="X72" s="30"/>
      <c r="Y72" s="30"/>
      <c r="Z72" s="30"/>
    </row>
    <row r="73" ht="28.5" customHeight="1">
      <c r="A73" s="25" t="s">
        <v>264</v>
      </c>
      <c r="B73" s="26" t="str">
        <f>HYPERLINK("https://drive.google.com/file/d/1RKxhzoZ_zuzQc41n2DPhZFjo_MeMq0Nz/view?usp=sharing","BUROCRACIA X BUROCRATISMO: UMA ANÁLISE DO CONCEITO DE MAX WEBER.")</f>
        <v>BUROCRACIA X BUROCRATISMO: UMA ANÁLISE DO CONCEITO DE MAX WEBER.</v>
      </c>
      <c r="C73" s="27" t="s">
        <v>265</v>
      </c>
      <c r="D73" s="27" t="s">
        <v>266</v>
      </c>
      <c r="E73" s="27" t="s">
        <v>267</v>
      </c>
      <c r="F73" s="27" t="s">
        <v>268</v>
      </c>
      <c r="G73" s="28">
        <v>38660.0</v>
      </c>
      <c r="H73" s="29"/>
      <c r="I73" s="38"/>
      <c r="J73" s="29"/>
      <c r="K73" s="29"/>
      <c r="L73" s="29"/>
      <c r="M73" s="29"/>
      <c r="N73" s="29"/>
      <c r="O73" s="29"/>
      <c r="P73" s="29"/>
      <c r="Q73" s="29"/>
      <c r="R73" s="29"/>
      <c r="S73" s="30"/>
      <c r="T73" s="30"/>
      <c r="U73" s="30"/>
      <c r="V73" s="30"/>
      <c r="W73" s="30"/>
      <c r="X73" s="30"/>
      <c r="Y73" s="30"/>
      <c r="Z73" s="30"/>
    </row>
    <row r="74" ht="38.25" customHeight="1">
      <c r="A74" s="31" t="s">
        <v>269</v>
      </c>
      <c r="B74" s="32" t="str">
        <f>HYPERLINK("https://drive.google.com/file/d/1yY-IQqbR_w0VQidKCE72XPIZjka_ysHC/view?usp=sharing","PRODUÇÃO E COMERCIALIZAÇÃO DO MAMÃO: UMA ANÁLISE COMPARATIVA ENTRE OS ESTADOS DA BAHIA E ESPÍRITO SANTO")</f>
        <v>PRODUÇÃO E COMERCIALIZAÇÃO DO MAMÃO: UMA ANÁLISE COMPARATIVA ENTRE OS ESTADOS DA BAHIA E ESPÍRITO SANTO</v>
      </c>
      <c r="C74" s="33" t="s">
        <v>47</v>
      </c>
      <c r="D74" s="33" t="s">
        <v>270</v>
      </c>
      <c r="E74" s="33" t="s">
        <v>271</v>
      </c>
      <c r="F74" s="33" t="s">
        <v>205</v>
      </c>
      <c r="G74" s="34">
        <v>38652.0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30"/>
      <c r="V74" s="30"/>
      <c r="W74" s="30"/>
      <c r="X74" s="30"/>
      <c r="Y74" s="30"/>
      <c r="Z74" s="30"/>
    </row>
    <row r="75" ht="38.25" customHeight="1">
      <c r="A75" s="25" t="s">
        <v>272</v>
      </c>
      <c r="B75" s="26" t="str">
        <f>HYPERLINK("https://drive.google.com/file/d/15UxsH2fbcc9TpFqLy_BnwRqN4718fkYQ/view?usp=sharing","O MULTIPLICADOR ECONÔMICO DA RENDA TURÍSTICA DOS MEIOS DE HOSPEDAGEM DO MUNICÍPIO DE CANAVIEIRAS – BA.")</f>
        <v>O MULTIPLICADOR ECONÔMICO DA RENDA TURÍSTICA DOS MEIOS DE HOSPEDAGEM DO MUNICÍPIO DE CANAVIEIRAS – BA.</v>
      </c>
      <c r="C75" s="27" t="s">
        <v>33</v>
      </c>
      <c r="D75" s="27" t="s">
        <v>273</v>
      </c>
      <c r="E75" s="27" t="s">
        <v>274</v>
      </c>
      <c r="F75" s="27" t="s">
        <v>180</v>
      </c>
      <c r="G75" s="28">
        <v>38386.0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30"/>
      <c r="V75" s="30"/>
      <c r="W75" s="30"/>
      <c r="X75" s="30"/>
      <c r="Y75" s="30"/>
      <c r="Z75" s="30"/>
    </row>
    <row r="76" ht="51.0" customHeight="1">
      <c r="A76" s="31" t="s">
        <v>275</v>
      </c>
      <c r="B76" s="32" t="str">
        <f>HYPERLINK("https://drive.google.com/file/d/1BiWCwM6fZ3Ygn06i26ovSo2N5oQPvCFC/view?usp=sharing","INDICADORES DE EFICIÊNCIA DA COOPERATIVA CREDICOOGRAP NO MUNICÍPIO DE ITABUNA, BAHIA: UMA ANÁLISE SÓCIO-ECONÔMICA DO PERÍODO DE 1995 A 2003")</f>
        <v>INDICADORES DE EFICIÊNCIA DA COOPERATIVA CREDICOOGRAP NO MUNICÍPIO DE ITABUNA, BAHIA: UMA ANÁLISE SÓCIO-ECONÔMICA DO PERÍODO DE 1995 A 2003</v>
      </c>
      <c r="C76" s="33" t="s">
        <v>276</v>
      </c>
      <c r="D76" s="33" t="s">
        <v>277</v>
      </c>
      <c r="E76" s="33" t="s">
        <v>278</v>
      </c>
      <c r="F76" s="33" t="s">
        <v>16</v>
      </c>
      <c r="G76" s="34">
        <v>38660.0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30"/>
      <c r="T76" s="30"/>
      <c r="U76" s="30"/>
      <c r="V76" s="30"/>
      <c r="W76" s="30"/>
      <c r="X76" s="30"/>
      <c r="Y76" s="30"/>
      <c r="Z76" s="30"/>
    </row>
    <row r="77" ht="51.0" customHeight="1">
      <c r="A77" s="25" t="s">
        <v>279</v>
      </c>
      <c r="B77" s="26" t="str">
        <f>HYPERLINK("https://drive.google.com/file/d/1y_Ci0X6IvdRjjmOUGGSBmjp2sJ-fnsxo/view?usp=sharing","O PERFIL DOS FUNCIONÁRIOS DA PRODUÇÃO E APOIO À PRODUÇÃO DA SIDERURGIA: ESTUDO DE CASO DA USINA SIDERÚRGICA DE TRANSFORMAÇÃO (USIT)")</f>
        <v>O PERFIL DOS FUNCIONÁRIOS DA PRODUÇÃO E APOIO À PRODUÇÃO DA SIDERURGIA: ESTUDO DE CASO DA USINA SIDERÚRGICA DE TRANSFORMAÇÃO (USIT)</v>
      </c>
      <c r="C77" s="27" t="s">
        <v>18</v>
      </c>
      <c r="D77" s="27" t="s">
        <v>280</v>
      </c>
      <c r="E77" s="27" t="s">
        <v>281</v>
      </c>
      <c r="F77" s="27" t="s">
        <v>36</v>
      </c>
      <c r="G77" s="28">
        <v>38663.0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30"/>
      <c r="V77" s="30"/>
      <c r="W77" s="30"/>
      <c r="X77" s="30"/>
      <c r="Y77" s="30"/>
      <c r="Z77" s="30"/>
    </row>
    <row r="78" ht="57.75" customHeight="1">
      <c r="A78" s="39" t="s">
        <v>282</v>
      </c>
      <c r="B78" s="40" t="str">
        <f>HYPERLINK("https://drive.google.com/file/d/1mYVJmYMyxY8rvg2K0bMDa3SB6efzh87y/view?usp=sharing","ANÁLISE DE VIABILIDADE ECONÔMICA DA IMPLANTAÇÃO DE UMA INDÚSTRIA DE RECICLAGEM DE EMBALAGENS DE PET NA REGIÃO DE ITABUNA/ILHÉUS-BAHIA")</f>
        <v>ANÁLISE DE VIABILIDADE ECONÔMICA DA IMPLANTAÇÃO DE UMA INDÚSTRIA DE RECICLAGEM DE EMBALAGENS DE PET NA REGIÃO DE ITABUNA/ILHÉUS-BAHIA</v>
      </c>
      <c r="C78" s="33" t="s">
        <v>283</v>
      </c>
      <c r="D78" s="33"/>
      <c r="E78" s="33" t="s">
        <v>284</v>
      </c>
      <c r="F78" s="33" t="s">
        <v>88</v>
      </c>
      <c r="G78" s="36">
        <v>2005.0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30"/>
      <c r="V78" s="30"/>
      <c r="W78" s="30"/>
      <c r="X78" s="30"/>
      <c r="Y78" s="30"/>
      <c r="Z78" s="30"/>
    </row>
    <row r="79" ht="42.75" customHeight="1">
      <c r="A79" s="31" t="s">
        <v>285</v>
      </c>
      <c r="B79" s="32" t="str">
        <f>HYPERLINK("https://drive.google.com/file/d/1GMAmVSY7XObSrqWWedmHrEBCfkTVsm2X/view?usp=sharing","O PERFIL DOS TRABALHADORES INFORMAIS QUE ATUARAM NO CARNAVAL ANTECIPADO DE ITABUNA NO ANO DE 2005")</f>
        <v>O PERFIL DOS TRABALHADORES INFORMAIS QUE ATUARAM NO CARNAVAL ANTECIPADO DE ITABUNA NO ANO DE 2005</v>
      </c>
      <c r="C79" s="33" t="s">
        <v>18</v>
      </c>
      <c r="D79" s="33" t="s">
        <v>286</v>
      </c>
      <c r="E79" s="33" t="s">
        <v>287</v>
      </c>
      <c r="F79" s="33" t="s">
        <v>68</v>
      </c>
      <c r="G79" s="34">
        <v>39051.0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30"/>
      <c r="V79" s="30"/>
      <c r="W79" s="30"/>
      <c r="X79" s="30"/>
      <c r="Y79" s="30"/>
      <c r="Z79" s="30"/>
    </row>
    <row r="80" ht="38.25" customHeight="1">
      <c r="A80" s="25" t="s">
        <v>288</v>
      </c>
      <c r="B80" s="26" t="str">
        <f>HYPERLINK("https://drive.google.com/file/d/1-a1OPIa-qa1n_aummRSZO4TfPcB7d2fP/view?usp=sharing","ANÁLISE DOS BENEFICIADOS PELO SEGURO DESEMPREGO NO MUNICÍPIO DE ITABUNA, BAHIA, NO ANO DE 2006")</f>
        <v>ANÁLISE DOS BENEFICIADOS PELO SEGURO DESEMPREGO NO MUNICÍPIO DE ITABUNA, BAHIA, NO ANO DE 2006</v>
      </c>
      <c r="C80" s="27" t="s">
        <v>23</v>
      </c>
      <c r="D80" s="27" t="s">
        <v>289</v>
      </c>
      <c r="E80" s="27" t="s">
        <v>290</v>
      </c>
      <c r="F80" s="27" t="s">
        <v>64</v>
      </c>
      <c r="G80" s="28">
        <v>39051.0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30"/>
      <c r="V80" s="30"/>
      <c r="W80" s="30"/>
      <c r="X80" s="30"/>
      <c r="Y80" s="30"/>
      <c r="Z80" s="30"/>
    </row>
    <row r="81" ht="57.0" customHeight="1">
      <c r="A81" s="31" t="s">
        <v>291</v>
      </c>
      <c r="B81" s="32" t="str">
        <f>HYPERLINK("https://drive.google.com/file/d/1a-h-MMeAKW0h5qYXIlT5FQts-bPHyp4H/view?usp=sharing","FORMAÇÃO UNIVERSITÁRIA E EMPREGO: O CASO DOS EGRESSOS DO CURSO DE ADMINISTRAÇÃO DE EMPRESAS DA UESC, ENTRE 2000 E 2004")</f>
        <v>FORMAÇÃO UNIVERSITÁRIA E EMPREGO: O CASO DOS EGRESSOS DO CURSO DE ADMINISTRAÇÃO DE EMPRESAS DA UESC, ENTRE 2000 E 2004</v>
      </c>
      <c r="C81" s="33" t="s">
        <v>18</v>
      </c>
      <c r="D81" s="33" t="s">
        <v>292</v>
      </c>
      <c r="E81" s="33" t="s">
        <v>293</v>
      </c>
      <c r="F81" s="33" t="s">
        <v>244</v>
      </c>
      <c r="G81" s="34">
        <v>38826.0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30"/>
      <c r="V81" s="30"/>
      <c r="W81" s="30"/>
      <c r="X81" s="30"/>
      <c r="Y81" s="30"/>
      <c r="Z81" s="30"/>
    </row>
    <row r="82" ht="42.75" customHeight="1">
      <c r="A82" s="25" t="s">
        <v>294</v>
      </c>
      <c r="B82" s="26" t="str">
        <f>HYPERLINK("https://drive.google.com/file/d/1ujGcrAg9t0dar-2kIFT_LB-GaifkpKRq/view?usp=sharing","A QUESTÃO METODOLÓGICA NO ÂMBITO DA CIÊNCIA ECONÔMICA")</f>
        <v>A QUESTÃO METODOLÓGICA NO ÂMBITO DA CIÊNCIA ECONÔMICA</v>
      </c>
      <c r="C82" s="27" t="s">
        <v>207</v>
      </c>
      <c r="D82" s="27" t="s">
        <v>295</v>
      </c>
      <c r="E82" s="27" t="s">
        <v>296</v>
      </c>
      <c r="F82" s="27" t="s">
        <v>162</v>
      </c>
      <c r="G82" s="28">
        <v>38831.0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30"/>
      <c r="V82" s="30"/>
      <c r="W82" s="30"/>
      <c r="X82" s="30"/>
      <c r="Y82" s="30"/>
      <c r="Z82" s="30"/>
    </row>
    <row r="83" ht="57.0" customHeight="1">
      <c r="A83" s="31" t="s">
        <v>297</v>
      </c>
      <c r="B83" s="32" t="str">
        <f>HYPERLINK("https://drive.google.com/file/d/1NtJ1BRUqLSC1nJDZWeQcimYf60YqmaTD/view?usp=sharing","TERCEIRIZAÇÃO NO SISTEMA BANCÁRIO PÚBLICO E SEUS EFEITOS SOCIOECONÔMICOS: UM ESTUDO DE CASO DAS AGÊNCIAS DA CAIXA ECONÔMICA FEDERAL EM ITABUNA, BAHIA")</f>
        <v>TERCEIRIZAÇÃO NO SISTEMA BANCÁRIO PÚBLICO E SEUS EFEITOS SOCIOECONÔMICOS: UM ESTUDO DE CASO DAS AGÊNCIAS DA CAIXA ECONÔMICA FEDERAL EM ITABUNA, BAHIA</v>
      </c>
      <c r="C83" s="33" t="s">
        <v>13</v>
      </c>
      <c r="D83" s="33" t="s">
        <v>298</v>
      </c>
      <c r="E83" s="33" t="s">
        <v>299</v>
      </c>
      <c r="F83" s="33" t="s">
        <v>300</v>
      </c>
      <c r="G83" s="34">
        <v>38819.0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30"/>
      <c r="V83" s="30"/>
      <c r="W83" s="30"/>
      <c r="X83" s="30"/>
      <c r="Y83" s="30"/>
      <c r="Z83" s="30"/>
    </row>
    <row r="84" ht="38.25" customHeight="1">
      <c r="A84" s="41" t="str">
        <f>HYPERLINK("https://drive.google.com/file/d/1oE0BXpApjRtUdnhHKMX5qY8YL1gsB4-_/view?usp=sharing","2006-06")</f>
        <v>2006-06</v>
      </c>
      <c r="B84" s="26" t="str">
        <f>HYPERLINK("https://drive.google.com/file/d/1oE0BXpApjRtUdnhHKMX5qY8YL1gsB4-_/view?usp=sharing","O POLO DE INFORMÁTICA SOB A ÓTICA DO CRESCIMENTO ECONÔMICO DO MUNICÍPIO DE ILHÉUS - BAHIA, NO PERÍODO 2001 A 2005.")</f>
        <v>O POLO DE INFORMÁTICA SOB A ÓTICA DO CRESCIMENTO ECONÔMICO DO MUNICÍPIO DE ILHÉUS - BAHIA, NO PERÍODO 2001 A 2005.</v>
      </c>
      <c r="C84" s="27" t="s">
        <v>301</v>
      </c>
      <c r="D84" s="27" t="s">
        <v>302</v>
      </c>
      <c r="E84" s="27" t="s">
        <v>303</v>
      </c>
      <c r="F84" s="27" t="s">
        <v>16</v>
      </c>
      <c r="G84" s="28">
        <v>38819.0</v>
      </c>
      <c r="H84" s="42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51.0" customHeight="1">
      <c r="A85" s="31" t="str">
        <f>HYPERLINK("https://drive.google.com/file/d/10dM3e6wb476L8yY1i1N_27oNbVeDc8lt/view?usp=sharing","2006-07")</f>
        <v>2006-07</v>
      </c>
      <c r="B85" s="32" t="str">
        <f>HYPERLINK("https://drive.google.com/file/d/10dM3e6wb476L8yY1i1N_27oNbVeDc8lt/view?usp=sharing","ANÁLISE DO ABSENTEÍSMO NA INDÚSTRIA DE BOLAS NO PERÍODO DE 2003 - 2005: UM ESTUDO DE CASO DA FÁBRICA DE BOLAS DA PENALTY EM ITABUNA – BA.")</f>
        <v>ANÁLISE DO ABSENTEÍSMO NA INDÚSTRIA DE BOLAS NO PERÍODO DE 2003 - 2005: UM ESTUDO DE CASO DA FÁBRICA DE BOLAS DA PENALTY EM ITABUNA – BA.</v>
      </c>
      <c r="C85" s="33" t="s">
        <v>301</v>
      </c>
      <c r="D85" s="33" t="s">
        <v>304</v>
      </c>
      <c r="E85" s="33" t="s">
        <v>305</v>
      </c>
      <c r="F85" s="33" t="s">
        <v>26</v>
      </c>
      <c r="G85" s="34">
        <v>38811.0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30"/>
      <c r="V85" s="30"/>
      <c r="W85" s="30"/>
      <c r="X85" s="30"/>
      <c r="Y85" s="30"/>
      <c r="Z85" s="30"/>
    </row>
    <row r="86" ht="42.75" customHeight="1">
      <c r="A86" s="25" t="str">
        <f>HYPERLINK("https://drive.google.com/file/d/1Pm3zFP5WJiFt4GUCoGHS1lJK_axyuZo1/view?usp=sharing","2006-08")</f>
        <v>2006-08</v>
      </c>
      <c r="B86" s="26" t="str">
        <f>HYPERLINK("https://drive.google.com/file/d/1Pm3zFP5WJiFt4GUCoGHS1lJK_axyuZo1/view?usp=sharing","ANÁLISE DA MORTALIDADE DAS MICROEMPRESAS E EMPRESAS DE PEQUENO PORTE NO BRASIL")</f>
        <v>ANÁLISE DA MORTALIDADE DAS MICROEMPRESAS E EMPRESAS DE PEQUENO PORTE NO BRASIL</v>
      </c>
      <c r="C86" s="27" t="s">
        <v>116</v>
      </c>
      <c r="D86" s="27" t="s">
        <v>306</v>
      </c>
      <c r="E86" s="27" t="s">
        <v>307</v>
      </c>
      <c r="F86" s="27" t="s">
        <v>308</v>
      </c>
      <c r="G86" s="28">
        <v>38818.0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30"/>
      <c r="V86" s="30"/>
      <c r="W86" s="30"/>
      <c r="X86" s="30"/>
      <c r="Y86" s="30"/>
      <c r="Z86" s="30"/>
    </row>
    <row r="87" ht="38.25" customHeight="1">
      <c r="A87" s="31" t="str">
        <f>HYPERLINK("https://drive.google.com/file/d/1Hr7T1awaDuV5K8xje4sViaVijzE8VEqE/view?usp=sharing","2006-09")</f>
        <v>2006-09</v>
      </c>
      <c r="B87" s="32" t="str">
        <f>HYPERLINK("https://drive.google.com/file/d/1Hr7T1awaDuV5K8xje4sViaVijzE8VEqE/view?usp=sharing","ANÁLISE DO PROCESSO DE DESCONCENTRAÇÃO DA ATIVIDADE PRODUTIVA NO BRASIL DURANTE A DÉCADA DE NOVENTA")</f>
        <v>ANÁLISE DO PROCESSO DE DESCONCENTRAÇÃO DA ATIVIDADE PRODUTIVA NO BRASIL DURANTE A DÉCADA DE NOVENTA</v>
      </c>
      <c r="C87" s="33" t="s">
        <v>52</v>
      </c>
      <c r="D87" s="33" t="s">
        <v>309</v>
      </c>
      <c r="E87" s="33" t="s">
        <v>310</v>
      </c>
      <c r="F87" s="33" t="s">
        <v>162</v>
      </c>
      <c r="G87" s="34">
        <v>38985.0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30"/>
      <c r="V87" s="30"/>
      <c r="W87" s="30"/>
      <c r="X87" s="30"/>
      <c r="Y87" s="30"/>
      <c r="Z87" s="30"/>
    </row>
    <row r="88" ht="42.75" customHeight="1">
      <c r="A88" s="25" t="str">
        <f>HYPERLINK("https://drive.google.com/file/d/15DSLXrGI_2UcIChBAXcsTQhq5ZQ5ushk/view?usp=sharing","2006-10")</f>
        <v>2006-10</v>
      </c>
      <c r="B88" s="26" t="str">
        <f>HYPERLINK("https://drive.google.com/file/d/15DSLXrGI_2UcIChBAXcsTQhq5ZQ5ushk/view?usp=sharing","TEORIA DO VALOR: UMA INVESTIGAÇÃO SOBRE A NATUREZA DO VALOR DOS BENS")</f>
        <v>TEORIA DO VALOR: UMA INVESTIGAÇÃO SOBRE A NATUREZA DO VALOR DOS BENS</v>
      </c>
      <c r="C88" s="27" t="s">
        <v>311</v>
      </c>
      <c r="D88" s="27" t="s">
        <v>312</v>
      </c>
      <c r="E88" s="27" t="s">
        <v>313</v>
      </c>
      <c r="F88" s="27" t="s">
        <v>201</v>
      </c>
      <c r="G88" s="28">
        <v>38765.0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30"/>
      <c r="T88" s="30"/>
      <c r="U88" s="30"/>
      <c r="V88" s="30"/>
      <c r="W88" s="30"/>
      <c r="X88" s="30"/>
      <c r="Y88" s="30"/>
      <c r="Z88" s="30"/>
    </row>
    <row r="89" ht="42.75" customHeight="1">
      <c r="A89" s="31" t="str">
        <f>HYPERLINK("https://drive.google.com/file/d/1PAiGVTLtZC4kBCXxKT0FWgrC2V5qZySH/view?usp=sharing","2006-11")</f>
        <v>2006-11</v>
      </c>
      <c r="B89" s="32" t="str">
        <f>HYPERLINK("https://drive.google.com/file/d/1PAiGVTLtZC4kBCXxKT0FWgrC2V5qZySH/view?usp=sharing","IMPACTO ECONÔMICO DO AGRONEGÓCIO NO MUNICÍPIO DE URUÇUCA, BAHIA: A IMPLANTAÇÃO DA INACERES")</f>
        <v>IMPACTO ECONÔMICO DO AGRONEGÓCIO NO MUNICÍPIO DE URUÇUCA, BAHIA: A IMPLANTAÇÃO DA INACERES</v>
      </c>
      <c r="C89" s="33" t="s">
        <v>61</v>
      </c>
      <c r="D89" s="33" t="s">
        <v>314</v>
      </c>
      <c r="E89" s="33" t="s">
        <v>315</v>
      </c>
      <c r="F89" s="33" t="s">
        <v>64</v>
      </c>
      <c r="G89" s="34">
        <v>38966.0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30"/>
      <c r="T89" s="30"/>
      <c r="U89" s="30"/>
      <c r="V89" s="30"/>
      <c r="W89" s="30"/>
      <c r="X89" s="30"/>
      <c r="Y89" s="30"/>
      <c r="Z89" s="30"/>
    </row>
    <row r="90" ht="28.5" customHeight="1">
      <c r="A90" s="25" t="str">
        <f>HYPERLINK("https://drive.google.com/file/d/1q6XCOm_pHqVBKzs4XIPM3Lde9B3Kni7N/view?usp=sharing","2006-12")</f>
        <v>2006-12</v>
      </c>
      <c r="B90" s="26" t="str">
        <f>HYPERLINK("https://drive.google.com/file/d/1q6XCOm_pHqVBKzs4XIPM3Lde9B3Kni7N/view?usp=sharing","DESENVOLVIMENTO SUSTENTÁVEL: UMA QUESTÃO DE EDUCAÇÃO AMBIENTAL")</f>
        <v>DESENVOLVIMENTO SUSTENTÁVEL: UMA QUESTÃO DE EDUCAÇÃO AMBIENTAL</v>
      </c>
      <c r="C90" s="27" t="s">
        <v>43</v>
      </c>
      <c r="D90" s="27" t="s">
        <v>316</v>
      </c>
      <c r="E90" s="27" t="s">
        <v>317</v>
      </c>
      <c r="F90" s="27" t="s">
        <v>244</v>
      </c>
      <c r="G90" s="28">
        <v>38981.0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30"/>
      <c r="T90" s="30"/>
      <c r="U90" s="30"/>
      <c r="V90" s="30"/>
      <c r="W90" s="30"/>
      <c r="X90" s="30"/>
      <c r="Y90" s="30"/>
      <c r="Z90" s="30"/>
    </row>
    <row r="91" ht="51.0" customHeight="1">
      <c r="A91" s="31" t="str">
        <f>HYPERLINK("https://drive.google.com/file/d/1V01B0xZweAonMagkQPj4RYTFlzQtJNYC/view?usp=sharing","2006-13")</f>
        <v>2006-13</v>
      </c>
      <c r="B91" s="32" t="str">
        <f>HYPERLINK("https://drive.google.com/file/d/1V01B0xZweAonMagkQPj4RYTFlzQtJNYC/view?usp=sharing","ANÁLISE DA QUALIDADE EM PRESTAÇÃO DE SERVIÇO NO HOTEL TRANSAMÉRICA - ILHA DE COMANDATUBA, UMA - BAHIA, APÓS A CERTIFICAÇÃO ISO 9002")</f>
        <v>ANÁLISE DA QUALIDADE EM PRESTAÇÃO DE SERVIÇO NO HOTEL TRANSAMÉRICA - ILHA DE COMANDATUBA, UMA - BAHIA, APÓS A CERTIFICAÇÃO ISO 9002</v>
      </c>
      <c r="C91" s="33" t="s">
        <v>33</v>
      </c>
      <c r="D91" s="33" t="s">
        <v>318</v>
      </c>
      <c r="E91" s="33" t="s">
        <v>319</v>
      </c>
      <c r="F91" s="33" t="s">
        <v>320</v>
      </c>
      <c r="G91" s="34">
        <v>38826.0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30"/>
      <c r="T91" s="30"/>
      <c r="U91" s="30"/>
      <c r="V91" s="30"/>
      <c r="W91" s="30"/>
      <c r="X91" s="30"/>
      <c r="Y91" s="30"/>
      <c r="Z91" s="30"/>
    </row>
    <row r="92" ht="51.0" customHeight="1">
      <c r="A92" s="25" t="str">
        <f>HYPERLINK("https://drive.google.com/file/d/18EcnYB3e8Yv1QovASwJPbnYCLqEx7PyC/view?usp=sharing","2006-14")</f>
        <v>2006-14</v>
      </c>
      <c r="B92" s="26" t="str">
        <f>HYPERLINK("https://drive.google.com/file/d/18EcnYB3e8Yv1QovASwJPbnYCLqEx7PyC/view?usp=sharing","GESTÃO AMBIENTAL MUNICIPAL: PLANEJAMENTO E EXECUÇÃO DAS POLÍTICAS SUSTENTÁVEIS NO MUNICÍPIO DE ITABUNA – BAHIA NO PERÍODO DE 2005 – 2006.")</f>
        <v>GESTÃO AMBIENTAL MUNICIPAL: PLANEJAMENTO E EXECUÇÃO DAS POLÍTICAS SUSTENTÁVEIS NO MUNICÍPIO DE ITABUNA – BAHIA NO PERÍODO DE 2005 – 2006.</v>
      </c>
      <c r="C92" s="27" t="s">
        <v>43</v>
      </c>
      <c r="D92" s="27" t="s">
        <v>321</v>
      </c>
      <c r="E92" s="27" t="s">
        <v>322</v>
      </c>
      <c r="F92" s="27" t="s">
        <v>323</v>
      </c>
      <c r="G92" s="28">
        <v>39119.0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30"/>
      <c r="T92" s="30"/>
      <c r="U92" s="30"/>
      <c r="V92" s="30"/>
      <c r="W92" s="30"/>
      <c r="X92" s="30"/>
      <c r="Y92" s="30"/>
      <c r="Z92" s="30"/>
    </row>
    <row r="93" ht="42.75" customHeight="1">
      <c r="A93" s="31" t="str">
        <f>HYPERLINK("https://drive.google.com/file/d/1_YCr5-UdWm9y-3IwE48UHcXxFIW6uvgX/view?usp=sharing","2006-15")</f>
        <v>2006-15</v>
      </c>
      <c r="B93" s="32" t="str">
        <f>HYPERLINK("https://drive.google.com/file/d/1_YCr5-UdWm9y-3IwE48UHcXxFIW6uvgX/view?usp=sharing","LEITURA MACROECONÔMICA DA ESCOLA MONETARISTA")</f>
        <v>LEITURA MACROECONÔMICA DA ESCOLA MONETARISTA</v>
      </c>
      <c r="C93" s="33" t="s">
        <v>167</v>
      </c>
      <c r="D93" s="33" t="s">
        <v>324</v>
      </c>
      <c r="E93" s="33" t="s">
        <v>325</v>
      </c>
      <c r="F93" s="33" t="s">
        <v>326</v>
      </c>
      <c r="G93" s="34">
        <v>38988.0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30"/>
      <c r="T93" s="30"/>
      <c r="U93" s="30"/>
      <c r="V93" s="30"/>
      <c r="W93" s="30"/>
      <c r="X93" s="30"/>
      <c r="Y93" s="30"/>
      <c r="Z93" s="30"/>
    </row>
    <row r="94" ht="51.0" customHeight="1">
      <c r="A94" s="25" t="str">
        <f>HYPERLINK("https://drive.google.com/file/d/1k9ffTHSbITqUgSl1Ft2DNqYJrp8IORtI/view?usp=sharing","2006-16")</f>
        <v>2006-16</v>
      </c>
      <c r="B94" s="26" t="str">
        <f>HYPERLINK("https://drive.google.com/file/d/1k9ffTHSbITqUgSl1Ft2DNqYJrp8IORtI/view?usp=sharing","O MULTIPLICADOR ECONÔMICO DA RENDA TURÍSTICA COM BASE NOS MEIOS DE HOSPEDAGEM DO MUNICÍPIO DE ITUBERÁ – BAHIA.")</f>
        <v>O MULTIPLICADOR ECONÔMICO DA RENDA TURÍSTICA COM BASE NOS MEIOS DE HOSPEDAGEM DO MUNICÍPIO DE ITUBERÁ – BAHIA.</v>
      </c>
      <c r="C94" s="27" t="s">
        <v>33</v>
      </c>
      <c r="D94" s="27" t="s">
        <v>327</v>
      </c>
      <c r="E94" s="27" t="s">
        <v>328</v>
      </c>
      <c r="F94" s="27" t="s">
        <v>180</v>
      </c>
      <c r="G94" s="28">
        <v>38953.0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30"/>
      <c r="T94" s="30"/>
      <c r="U94" s="30"/>
      <c r="V94" s="30"/>
      <c r="W94" s="30"/>
      <c r="X94" s="30"/>
      <c r="Y94" s="30"/>
      <c r="Z94" s="30"/>
    </row>
    <row r="95" ht="42.75" customHeight="1">
      <c r="A95" s="31" t="str">
        <f>HYPERLINK("https://drive.google.com/file/d/1qXkzymKo5gH1ZMAIksmTHWZ7lYhi0_p6/view?usp=sharing","2006-17")</f>
        <v>2006-17</v>
      </c>
      <c r="B95" s="32" t="str">
        <f>HYPERLINK("https://drive.google.com/file/d/1qXkzymKo5gH1ZMAIksmTHWZ7lYhi0_p6/view?usp=sharing","IMPACTO DA AÇÃO ANTRÓPICA SOBRE A MATA ATLÂNTICA – SUL DA BAHIA")</f>
        <v>IMPACTO DA AÇÃO ANTRÓPICA SOBRE A MATA ATLÂNTICA – SUL DA BAHIA</v>
      </c>
      <c r="C95" s="33" t="s">
        <v>43</v>
      </c>
      <c r="D95" s="33" t="s">
        <v>329</v>
      </c>
      <c r="E95" s="33" t="s">
        <v>330</v>
      </c>
      <c r="F95" s="33" t="s">
        <v>331</v>
      </c>
      <c r="G95" s="34">
        <v>39136.0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30"/>
      <c r="T95" s="30"/>
      <c r="U95" s="30"/>
      <c r="V95" s="30"/>
      <c r="W95" s="30"/>
      <c r="X95" s="30"/>
      <c r="Y95" s="30"/>
      <c r="Z95" s="30"/>
    </row>
    <row r="96" ht="42.75" customHeight="1">
      <c r="A96" s="25" t="str">
        <f>HYPERLINK("https://drive.google.com/file/d/1dO8JihXOXOLEDmqBWxBQx256x4It7-Gl/view?usp=sharing","2006-18")</f>
        <v>2006-18</v>
      </c>
      <c r="B96" s="26" t="str">
        <f>HYPERLINK("https://drive.google.com/file/d/1dO8JihXOXOLEDmqBWxBQx256x4It7-Gl/view?usp=sharing","VIABILIDADE ECONÔMICA DE UMA INDÚSTRIA DE RECICLAGEM DE GARRAFAS PET NO MUNICÍPIO DE EUNÁPOLIS - BA")</f>
        <v>VIABILIDADE ECONÔMICA DE UMA INDÚSTRIA DE RECICLAGEM DE GARRAFAS PET NO MUNICÍPIO DE EUNÁPOLIS - BA</v>
      </c>
      <c r="C96" s="27" t="s">
        <v>56</v>
      </c>
      <c r="D96" s="27" t="s">
        <v>332</v>
      </c>
      <c r="E96" s="27" t="s">
        <v>333</v>
      </c>
      <c r="F96" s="27" t="s">
        <v>84</v>
      </c>
      <c r="G96" s="28">
        <v>38793.0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30"/>
      <c r="T96" s="30"/>
      <c r="U96" s="30"/>
      <c r="V96" s="30"/>
      <c r="W96" s="30"/>
      <c r="X96" s="30"/>
      <c r="Y96" s="30"/>
      <c r="Z96" s="30"/>
    </row>
    <row r="97" ht="38.25" customHeight="1">
      <c r="A97" s="31" t="str">
        <f>HYPERLINK("https://drive.google.com/file/d/1nLgI73FesEF_xA4q7nPFg__FUSm2DZQ0/view?usp=sharing","2006-19")</f>
        <v>2006-19</v>
      </c>
      <c r="B97" s="32" t="str">
        <f>HYPERLINK("https://drive.google.com/file/d/1nLgI73FesEF_xA4q7nPFg__FUSm2DZQ0/view?usp=sharing","ANÁLISE ECONÔMICA DE DIFERENTES SISTEMAS DE PRODUÇÃO DE BIODIESEL NA BAHIA")</f>
        <v>ANÁLISE ECONÔMICA DE DIFERENTES SISTEMAS DE PRODUÇÃO DE BIODIESEL NA BAHIA</v>
      </c>
      <c r="C97" s="33" t="s">
        <v>43</v>
      </c>
      <c r="D97" s="33" t="s">
        <v>334</v>
      </c>
      <c r="E97" s="33" t="s">
        <v>335</v>
      </c>
      <c r="F97" s="33" t="s">
        <v>73</v>
      </c>
      <c r="G97" s="34">
        <v>38965.0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30"/>
      <c r="T97" s="30"/>
      <c r="U97" s="30"/>
      <c r="V97" s="30"/>
      <c r="W97" s="30"/>
      <c r="X97" s="30"/>
      <c r="Y97" s="30"/>
      <c r="Z97" s="30"/>
    </row>
    <row r="98" ht="28.5" customHeight="1">
      <c r="A98" s="25" t="str">
        <f>HYPERLINK("https://drive.google.com/file/d/18qKGuApdmCYjMQSHX10TjGeE983SOdJD/view?usp=sharing","2006-20")</f>
        <v>2006-20</v>
      </c>
      <c r="B98" s="26" t="str">
        <f>HYPERLINK("https://drive.google.com/file/d/18qKGuApdmCYjMQSHX10TjGeE983SOdJD/view?usp=sharing","ANÁLISE DAS CONTAS PÚBLICAS DO MUNICÍPIO DE IBICARAÍ – BA, NO PERÍODO DE 1996 A 2000.")</f>
        <v>ANÁLISE DAS CONTAS PÚBLICAS DO MUNICÍPIO DE IBICARAÍ – BA, NO PERÍODO DE 1996 A 2000.</v>
      </c>
      <c r="C98" s="27" t="s">
        <v>23</v>
      </c>
      <c r="D98" s="27" t="s">
        <v>336</v>
      </c>
      <c r="E98" s="27" t="s">
        <v>337</v>
      </c>
      <c r="F98" s="27" t="s">
        <v>16</v>
      </c>
      <c r="G98" s="28">
        <v>38819.0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30"/>
      <c r="T98" s="30"/>
      <c r="U98" s="30"/>
      <c r="V98" s="30"/>
      <c r="W98" s="30"/>
      <c r="X98" s="30"/>
      <c r="Y98" s="30"/>
      <c r="Z98" s="30"/>
    </row>
    <row r="99" ht="57.0" customHeight="1">
      <c r="A99" s="31" t="str">
        <f>HYPERLINK("https://drive.google.com/file/d/1MlualNHa4PrQauNg2SPrEd66KCi5o6C9/view?usp=sharing","2006-21")</f>
        <v>2006-21</v>
      </c>
      <c r="B99" s="32" t="str">
        <f>HYPERLINK("https://drive.google.com/file/d/1MlualNHa4PrQauNg2SPrEd66KCi5o6C9/view?usp=sharing","A POLÍTICA REGIONAL PARA O NORDESTE BASEADA NA RENÚNCIA FISCAL DO GOVERNO FEDERAL: 1998 – 2005")</f>
        <v>A POLÍTICA REGIONAL PARA O NORDESTE BASEADA NA RENÚNCIA FISCAL DO GOVERNO FEDERAL: 1998 – 2005</v>
      </c>
      <c r="C99" s="33" t="s">
        <v>338</v>
      </c>
      <c r="D99" s="33" t="s">
        <v>339</v>
      </c>
      <c r="E99" s="33" t="s">
        <v>340</v>
      </c>
      <c r="F99" s="33" t="s">
        <v>147</v>
      </c>
      <c r="G99" s="34">
        <v>38825.0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30"/>
      <c r="T99" s="30"/>
      <c r="U99" s="30"/>
      <c r="V99" s="30"/>
      <c r="W99" s="30"/>
      <c r="X99" s="30"/>
      <c r="Y99" s="30"/>
      <c r="Z99" s="30"/>
    </row>
    <row r="100" ht="71.25" customHeight="1">
      <c r="A100" s="25" t="str">
        <f>HYPERLINK("https://drive.google.com/file/d/1ffC5OBVK2AOv2dfF5ndgluK2-sOGLYbT/view?usp=sharing","2006-22")</f>
        <v>2006-22</v>
      </c>
      <c r="B100" s="26" t="str">
        <f>HYPERLINK("https://drive.google.com/file/d/1ffC5OBVK2AOv2dfF5ndgluK2-sOGLYbT/view?usp=sharing","ANÁLISE DAS PRINCIPAIS VARIÁVEIS DO DESEMPREGO NO BRASIL NO PERÍODO DE 1994 A 2001")</f>
        <v>ANÁLISE DAS PRINCIPAIS VARIÁVEIS DO DESEMPREGO NO BRASIL NO PERÍODO DE 1994 A 2001</v>
      </c>
      <c r="C100" s="27" t="s">
        <v>18</v>
      </c>
      <c r="D100" s="27" t="s">
        <v>341</v>
      </c>
      <c r="E100" s="27" t="s">
        <v>342</v>
      </c>
      <c r="F100" s="27" t="s">
        <v>326</v>
      </c>
      <c r="G100" s="28">
        <v>38762.0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30"/>
      <c r="T100" s="30"/>
      <c r="U100" s="30"/>
      <c r="V100" s="30"/>
      <c r="W100" s="30"/>
      <c r="X100" s="30"/>
      <c r="Y100" s="30"/>
      <c r="Z100" s="30"/>
    </row>
    <row r="101" ht="42.75" customHeight="1">
      <c r="A101" s="31" t="str">
        <f>HYPERLINK("https://drive.google.com/file/d/1dyfKL9TSlvgPjPB4kuYPqXHdanKtjVKk/view?usp=sharing","2006-23")</f>
        <v>2006-23</v>
      </c>
      <c r="B101" s="32" t="str">
        <f>HYPERLINK("https://drive.google.com/file/d/1dyfKL9TSlvgPjPB4kuYPqXHdanKtjVKk/view?usp=sharing","ANÁLISE DO USO DO SOFTWARE LIVRE EM ITABUNA – BA: ASPECTOS ECONÔMICOS E SOCIAIS")</f>
        <v>ANÁLISE DO USO DO SOFTWARE LIVRE EM ITABUNA – BA: ASPECTOS ECONÔMICOS E SOCIAIS</v>
      </c>
      <c r="C101" s="33" t="s">
        <v>301</v>
      </c>
      <c r="D101" s="33" t="s">
        <v>343</v>
      </c>
      <c r="E101" s="33" t="s">
        <v>344</v>
      </c>
      <c r="F101" s="33" t="s">
        <v>59</v>
      </c>
      <c r="G101" s="34">
        <v>38826.0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30"/>
      <c r="T101" s="30"/>
      <c r="U101" s="30"/>
      <c r="V101" s="30"/>
      <c r="W101" s="30"/>
      <c r="X101" s="30"/>
      <c r="Y101" s="30"/>
      <c r="Z101" s="30"/>
    </row>
    <row r="102" ht="42.75" customHeight="1">
      <c r="A102" s="25" t="str">
        <f>HYPERLINK("https://drive.google.com/file/d/1kyivdwYTGNov2LmWiELRsimMrUzk4kMu/view?usp=sharing","2006-24")</f>
        <v>2006-24</v>
      </c>
      <c r="B102" s="26" t="str">
        <f>HYPERLINK("https://drive.google.com/file/d/1kyivdwYTGNov2LmWiELRsimMrUzk4kMu/view?usp=sharing","EMPREGO DA ENERGIA SOLAR NO AQUECIMENTO DE ÁGUA PARA BANHO")</f>
        <v>EMPREGO DA ENERGIA SOLAR NO AQUECIMENTO DE ÁGUA PARA BANHO</v>
      </c>
      <c r="C102" s="27" t="s">
        <v>43</v>
      </c>
      <c r="D102" s="27" t="s">
        <v>345</v>
      </c>
      <c r="E102" s="27" t="s">
        <v>346</v>
      </c>
      <c r="F102" s="27" t="s">
        <v>180</v>
      </c>
      <c r="G102" s="28">
        <v>39051.0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30"/>
      <c r="T102" s="30"/>
      <c r="U102" s="30"/>
      <c r="V102" s="30"/>
      <c r="W102" s="30"/>
      <c r="X102" s="30"/>
      <c r="Y102" s="30"/>
      <c r="Z102" s="30"/>
    </row>
    <row r="103" ht="42.75" customHeight="1">
      <c r="A103" s="31" t="str">
        <f>HYPERLINK("https://drive.google.com/file/d/1pkRIam9Zd7cKzoP4QEW86HcSfjyG5BUz/view?usp=sharing","2006-25")</f>
        <v>2006-25</v>
      </c>
      <c r="B103" s="32" t="str">
        <f>HYPERLINK("https://drive.google.com/file/d/1pkRIam9Zd7cKzoP4QEW86HcSfjyG5BUz/view?usp=sharing","ECONOMIA INSTITUCIONAL: DE VEBLEN AOS ATUAIS DIAS")</f>
        <v>ECONOMIA INSTITUCIONAL: DE VEBLEN AOS ATUAIS DIAS</v>
      </c>
      <c r="C103" s="33" t="s">
        <v>347</v>
      </c>
      <c r="D103" s="33" t="s">
        <v>348</v>
      </c>
      <c r="E103" s="33" t="s">
        <v>349</v>
      </c>
      <c r="F103" s="33" t="s">
        <v>326</v>
      </c>
      <c r="G103" s="34">
        <v>39127.0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30"/>
      <c r="T103" s="30"/>
      <c r="U103" s="30"/>
      <c r="V103" s="30"/>
      <c r="W103" s="30"/>
      <c r="X103" s="30"/>
      <c r="Y103" s="30"/>
      <c r="Z103" s="30"/>
    </row>
    <row r="104" ht="51.0" customHeight="1">
      <c r="A104" s="25" t="str">
        <f>HYPERLINK("https://drive.google.com/file/d/12bQgN7C0bf2leOFQVkaSIQgJeuaRLT8E/view?usp=sharing","2006-26")</f>
        <v>2006-26</v>
      </c>
      <c r="B104" s="26" t="str">
        <f>HYPERLINK("https://drive.google.com/file/d/12bQgN7C0bf2leOFQVkaSIQgJeuaRLT8E/view?usp=sharing","ANÁLISE DO PADRÃO DE VIDA DOS MORADORES DO CONJUNTO HABITACIONAL NOVO HORIZONTE NO MUNICÍPIO DE GUANAMBI-BAHIA")</f>
        <v>ANÁLISE DO PADRÃO DE VIDA DOS MORADORES DO CONJUNTO HABITACIONAL NOVO HORIZONTE NO MUNICÍPIO DE GUANAMBI-BAHIA</v>
      </c>
      <c r="C104" s="27" t="s">
        <v>61</v>
      </c>
      <c r="D104" s="27" t="s">
        <v>350</v>
      </c>
      <c r="E104" s="27" t="s">
        <v>351</v>
      </c>
      <c r="F104" s="27" t="s">
        <v>88</v>
      </c>
      <c r="G104" s="28">
        <v>38866.0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30"/>
      <c r="T104" s="30"/>
      <c r="U104" s="30"/>
      <c r="V104" s="30"/>
      <c r="W104" s="30"/>
      <c r="X104" s="30"/>
      <c r="Y104" s="30"/>
      <c r="Z104" s="30"/>
    </row>
    <row r="105" ht="42.75" customHeight="1">
      <c r="A105" s="31" t="str">
        <f>HYPERLINK("https://drive.google.com/file/d/1kU-CgzwWAhvVLckeHBaeGh_w1qDNegFi/view?usp=sharing","2006-27")</f>
        <v>2006-27</v>
      </c>
      <c r="B105" s="32" t="str">
        <f>HYPERLINK("https://drive.google.com/file/d/1kU-CgzwWAhvVLckeHBaeGh_w1qDNegFi/view?usp=sharing","O MERCADO DE CACAU E CHOCOLATE FINO E ORGÂNICO COMO ALTERNATIVA DE MELHORIA DOS PREÇOS ATRAVÉS DO COMÉRCIO JUSTO")</f>
        <v>O MERCADO DE CACAU E CHOCOLATE FINO E ORGÂNICO COMO ALTERNATIVA DE MELHORIA DOS PREÇOS ATRAVÉS DO COMÉRCIO JUSTO</v>
      </c>
      <c r="C105" s="33" t="s">
        <v>47</v>
      </c>
      <c r="D105" s="33" t="s">
        <v>352</v>
      </c>
      <c r="E105" s="33" t="s">
        <v>353</v>
      </c>
      <c r="F105" s="33" t="s">
        <v>16</v>
      </c>
      <c r="G105" s="34">
        <v>39000.0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30"/>
      <c r="T105" s="30"/>
      <c r="U105" s="30"/>
      <c r="V105" s="30"/>
      <c r="W105" s="30"/>
      <c r="X105" s="30"/>
      <c r="Y105" s="30"/>
      <c r="Z105" s="30"/>
    </row>
    <row r="106" ht="51.0" customHeight="1">
      <c r="A106" s="25" t="str">
        <f>HYPERLINK("https://drive.google.com/file/d/16LfDXy7yj3R1iUaC-vUu-N6-GfgyJO1C/view?usp=sharing","2006-28")</f>
        <v>2006-28</v>
      </c>
      <c r="B106" s="26" t="str">
        <f>HYPERLINK("https://drive.google.com/file/d/16LfDXy7yj3R1iUaC-vUu-N6-GfgyJO1C/view?usp=sharing","UMA ABORDAGEM DO DESEMPREGO NO BRASIL, SOB A ANÁLISE COMPARATIVA DO IBGE, DIEESE E SEADE COM ÍNDICES NO PERÍODO DE 13 ANOS (1989 A 2001)")</f>
        <v>UMA ABORDAGEM DO DESEMPREGO NO BRASIL, SOB A ANÁLISE COMPARATIVA DO IBGE, DIEESE E SEADE COM ÍNDICES NO PERÍODO DE 13 ANOS (1989 A 2001)</v>
      </c>
      <c r="C106" s="27" t="s">
        <v>167</v>
      </c>
      <c r="D106" s="27" t="s">
        <v>354</v>
      </c>
      <c r="E106" s="27" t="s">
        <v>355</v>
      </c>
      <c r="F106" s="27" t="s">
        <v>356</v>
      </c>
      <c r="G106" s="28">
        <v>39143.0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30"/>
      <c r="T106" s="30"/>
      <c r="U106" s="30"/>
      <c r="V106" s="30"/>
      <c r="W106" s="30"/>
      <c r="X106" s="30"/>
      <c r="Y106" s="30"/>
      <c r="Z106" s="30"/>
    </row>
    <row r="107" ht="63.75" customHeight="1">
      <c r="A107" s="31" t="str">
        <f>HYPERLINK("https://drive.google.com/file/d/1rWudwE14FVuTnn5-CfdWZw6zkRonxbxc/view?usp=sharing","2006-29")</f>
        <v>2006-29</v>
      </c>
      <c r="B107" s="32" t="str">
        <f>HYPERLINK("https://drive.google.com/file/d/1rWudwE14FVuTnn5-CfdWZw6zkRonxbxc/view?usp=sharing","CORREDOR CENTRAL DA MATA ATLÂNTICA E O MECANISMO DE DESENVOLVIMENTO LIMPO: O VALOR ESTIMADO DA MATA ATLÂNTICA DO SUL DA BAHIA EM RELAÇÃO AO CRÉDITO DE CARBONO")</f>
        <v>CORREDOR CENTRAL DA MATA ATLÂNTICA E O MECANISMO DE DESENVOLVIMENTO LIMPO: O VALOR ESTIMADO DA MATA ATLÂNTICA DO SUL DA BAHIA EM RELAÇÃO AO CRÉDITO DE CARBONO</v>
      </c>
      <c r="C107" s="33" t="s">
        <v>61</v>
      </c>
      <c r="D107" s="33" t="s">
        <v>357</v>
      </c>
      <c r="E107" s="33" t="s">
        <v>358</v>
      </c>
      <c r="F107" s="33" t="s">
        <v>16</v>
      </c>
      <c r="G107" s="34">
        <v>39140.0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30"/>
      <c r="T107" s="30"/>
      <c r="U107" s="30"/>
      <c r="V107" s="30"/>
      <c r="W107" s="30"/>
      <c r="X107" s="30"/>
      <c r="Y107" s="30"/>
      <c r="Z107" s="30"/>
    </row>
    <row r="108" ht="71.25" customHeight="1">
      <c r="A108" s="25" t="str">
        <f>HYPERLINK("https://drive.google.com/file/d/16xnIhZg9CKFOMDSumNcKfyGSk3V_n06-/view?usp=sharing","2006-30")</f>
        <v>2006-30</v>
      </c>
      <c r="B108" s="26" t="str">
        <f>HYPERLINK("https://drive.google.com/file/d/16xnIhZg9CKFOMDSumNcKfyGSk3V_n06-/view?usp=sharing","GLOBALIZAÇÃO ECONÔMICA: ANÁLISE DO PÓS SEGUNDA GUERRA MUNDIAL ATÉ A INSERÇÃO DAS ECONOMIAS EMERGENTES DA AMÉRICA LATINA")</f>
        <v>GLOBALIZAÇÃO ECONÔMICA: ANÁLISE DO PÓS SEGUNDA GUERRA MUNDIAL ATÉ A INSERÇÃO DAS ECONOMIAS EMERGENTES DA AMÉRICA LATINA</v>
      </c>
      <c r="C108" s="27" t="s">
        <v>252</v>
      </c>
      <c r="D108" s="27" t="s">
        <v>359</v>
      </c>
      <c r="E108" s="27" t="s">
        <v>360</v>
      </c>
      <c r="F108" s="27" t="s">
        <v>170</v>
      </c>
      <c r="G108" s="28">
        <v>38988.0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30"/>
      <c r="T108" s="30"/>
      <c r="U108" s="30"/>
      <c r="V108" s="30"/>
      <c r="W108" s="30"/>
      <c r="X108" s="30"/>
      <c r="Y108" s="30"/>
      <c r="Z108" s="30"/>
    </row>
    <row r="109" ht="42.75" customHeight="1">
      <c r="A109" s="31" t="str">
        <f>HYPERLINK("https://drive.google.com/file/d/1t9BmUyzqZGnBGA_LAaPS4d-vAKl0V53_/view?usp=sharing","2006-31")</f>
        <v>2006-31</v>
      </c>
      <c r="B109" s="32" t="str">
        <f>HYPERLINK("https://drive.google.com/file/d/1t9BmUyzqZGnBGA_LAaPS4d-vAKl0V53_/view?usp=sharing","OS EFEITOS DOS IMPACTOS SAZONAIS: UMA ANÁLISE DO SETOR HOTELEIRO DE ILHÉUS-BAHIA ")</f>
        <v>OS EFEITOS DOS IMPACTOS SAZONAIS: UMA ANÁLISE DO SETOR HOTELEIRO DE ILHÉUS-BAHIA </v>
      </c>
      <c r="C109" s="33" t="s">
        <v>33</v>
      </c>
      <c r="D109" s="33" t="s">
        <v>361</v>
      </c>
      <c r="E109" s="33" t="s">
        <v>362</v>
      </c>
      <c r="F109" s="33" t="s">
        <v>68</v>
      </c>
      <c r="G109" s="34">
        <v>38826.0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30"/>
      <c r="T109" s="30"/>
      <c r="U109" s="30"/>
      <c r="V109" s="30"/>
      <c r="W109" s="30"/>
      <c r="X109" s="30"/>
      <c r="Y109" s="30"/>
      <c r="Z109" s="30"/>
    </row>
    <row r="110" ht="42.75" customHeight="1">
      <c r="A110" s="25" t="str">
        <f>HYPERLINK("https://drive.google.com/file/d/1Ao2EpwVbBhaGLBjcVfaeu-bM74OkU8yS/view?usp=sharing","2006-32")</f>
        <v>2006-32</v>
      </c>
      <c r="B110" s="26" t="str">
        <f>HYPERLINK("https://drive.google.com/file/d/1Ao2EpwVbBhaGLBjcVfaeu-bM74OkU8yS/view?usp=sharing","ADMINISTRAÇÃO DA DÍVIDA PÚBLICA BRASILEIRA: UMA ANÁLISE PÓS – PLANO REAL, NO PERÍODO DE 1994 À 2005")</f>
        <v>ADMINISTRAÇÃO DA DÍVIDA PÚBLICA BRASILEIRA: UMA ANÁLISE PÓS – PLANO REAL, NO PERÍODO DE 1994 À 2005</v>
      </c>
      <c r="C110" s="27" t="s">
        <v>23</v>
      </c>
      <c r="D110" s="27" t="s">
        <v>363</v>
      </c>
      <c r="E110" s="27" t="s">
        <v>364</v>
      </c>
      <c r="F110" s="27" t="s">
        <v>147</v>
      </c>
      <c r="G110" s="28">
        <v>39112.0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30"/>
      <c r="T110" s="30"/>
      <c r="U110" s="30"/>
      <c r="V110" s="30"/>
      <c r="W110" s="30"/>
      <c r="X110" s="30"/>
      <c r="Y110" s="30"/>
      <c r="Z110" s="30"/>
    </row>
    <row r="111" ht="51.0" customHeight="1">
      <c r="A111" s="31" t="str">
        <f>HYPERLINK("https://drive.google.com/file/d/12qEe9xY1RZkS2cDTK3-6XJEKPx1r7MiR/view?usp=sharing","2006-33")</f>
        <v>2006-33</v>
      </c>
      <c r="B111" s="32" t="str">
        <f>HYPERLINK("https://drive.google.com/file/d/12qEe9xY1RZkS2cDTK3-6XJEKPx1r7MiR/view?usp=sharing","PERFIL DO TURISTA QUE DESEMBARCA NO AEROPORTO JORGE AMADO E A SUA PERCEPÇÃO SOBRE OS SERVIÇOS OFERECIDOS PELO MESMO")</f>
        <v>PERFIL DO TURISTA QUE DESEMBARCA NO AEROPORTO JORGE AMADO E A SUA PERCEPÇÃO SOBRE OS SERVIÇOS OFERECIDOS PELO MESMO</v>
      </c>
      <c r="C111" s="33" t="s">
        <v>33</v>
      </c>
      <c r="D111" s="33" t="s">
        <v>365</v>
      </c>
      <c r="E111" s="33" t="s">
        <v>366</v>
      </c>
      <c r="F111" s="33" t="s">
        <v>109</v>
      </c>
      <c r="G111" s="34">
        <v>38743.0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30"/>
      <c r="T111" s="30"/>
      <c r="U111" s="30"/>
      <c r="V111" s="30"/>
      <c r="W111" s="30"/>
      <c r="X111" s="30"/>
      <c r="Y111" s="30"/>
      <c r="Z111" s="30"/>
    </row>
    <row r="112" ht="51.0" customHeight="1">
      <c r="A112" s="25" t="str">
        <f>HYPERLINK("https://drive.google.com/file/d/1SYFYm7EuEDMkOZPe_S_YfDfHEvgFyPcd/view?usp=sharing","2006-34")</f>
        <v>2006-34</v>
      </c>
      <c r="B112" s="26" t="str">
        <f>HYPERLINK("https://drive.google.com/file/d/1SYFYm7EuEDMkOZPe_S_YfDfHEvgFyPcd/view?usp=sharing","ANÁLISE COMPARATIVA DA EVOLUÇÃO DA ESTRUTURA DA DÍVIDA PÚBLICA DOS MUNICÍPIOS DE ITABUNA E ILHÉUS, BAHIA, ENTRE 1996 A 2003")</f>
        <v>ANÁLISE COMPARATIVA DA EVOLUÇÃO DA ESTRUTURA DA DÍVIDA PÚBLICA DOS MUNICÍPIOS DE ITABUNA E ILHÉUS, BAHIA, ENTRE 1996 A 2003</v>
      </c>
      <c r="C112" s="27" t="s">
        <v>23</v>
      </c>
      <c r="D112" s="27" t="s">
        <v>367</v>
      </c>
      <c r="E112" s="27" t="s">
        <v>368</v>
      </c>
      <c r="F112" s="27" t="s">
        <v>147</v>
      </c>
      <c r="G112" s="28">
        <v>39099.0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30"/>
      <c r="T112" s="30"/>
      <c r="U112" s="30"/>
      <c r="V112" s="30"/>
      <c r="W112" s="30"/>
      <c r="X112" s="30"/>
      <c r="Y112" s="30"/>
      <c r="Z112" s="30"/>
    </row>
    <row r="113" ht="51.0" customHeight="1">
      <c r="A113" s="31" t="str">
        <f>HYPERLINK("https://drive.google.com/file/d/1Nbi4iE5Tpv4cv3UyM-JVLxoUrtxDwWgh/view?usp=sharing","2006-35")</f>
        <v>2006-35</v>
      </c>
      <c r="B113" s="32" t="str">
        <f>HYPERLINK("https://drive.google.com/file/d/1Nbi4iE5Tpv4cv3UyM-JVLxoUrtxDwWgh/view?usp=sharing","O MERCADO CONSUMIDOR DE ALIMENTAÇÃO FAST FOOD: UM ESTUDO NA PRAÇA DE ALIMENTAÇÃO NO JEQUITIBÁ PLAZA SHOPPING, ITABUNA, BAHIA")</f>
        <v>O MERCADO CONSUMIDOR DE ALIMENTAÇÃO FAST FOOD: UM ESTUDO NA PRAÇA DE ALIMENTAÇÃO NO JEQUITIBÁ PLAZA SHOPPING, ITABUNA, BAHIA</v>
      </c>
      <c r="C113" s="33" t="s">
        <v>111</v>
      </c>
      <c r="D113" s="33" t="s">
        <v>369</v>
      </c>
      <c r="E113" s="33" t="s">
        <v>370</v>
      </c>
      <c r="F113" s="33" t="s">
        <v>371</v>
      </c>
      <c r="G113" s="34">
        <v>38966.0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30"/>
      <c r="T113" s="30"/>
      <c r="U113" s="30"/>
      <c r="V113" s="30"/>
      <c r="W113" s="30"/>
      <c r="X113" s="30"/>
      <c r="Y113" s="30"/>
      <c r="Z113" s="30"/>
    </row>
    <row r="114" ht="51.0" customHeight="1">
      <c r="A114" s="25" t="str">
        <f>HYPERLINK("https://drive.google.com/file/d/1y1kZ-FeRI17gojJP_CFi-zsuPgPt93zf/view?usp=sharing","2006-36")</f>
        <v>2006-36</v>
      </c>
      <c r="B114" s="26" t="str">
        <f>HYPERLINK("https://drive.google.com/file/d/1y1kZ-FeRI17gojJP_CFi-zsuPgPt93zf/view?usp=sharing","CAPITAL SOCIAL: UMA ANÁLISE DA ASSOCIAÇÃO DE PEQUENOS PRODUTORES RURAIS UNIÃO DE TODOS NO RIO CIPÓ (APPRODUT), BUERAREMA-BAHIA, 2006")</f>
        <v>CAPITAL SOCIAL: UMA ANÁLISE DA ASSOCIAÇÃO DE PEQUENOS PRODUTORES RURAIS UNIÃO DE TODOS NO RIO CIPÓ (APPRODUT), BUERAREMA-BAHIA, 2006</v>
      </c>
      <c r="C114" s="27" t="s">
        <v>61</v>
      </c>
      <c r="D114" s="27" t="s">
        <v>372</v>
      </c>
      <c r="E114" s="27" t="s">
        <v>373</v>
      </c>
      <c r="F114" s="27" t="s">
        <v>162</v>
      </c>
      <c r="G114" s="28">
        <v>39146.0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30"/>
      <c r="T114" s="30"/>
      <c r="U114" s="30"/>
      <c r="V114" s="30"/>
      <c r="W114" s="30"/>
      <c r="X114" s="30"/>
      <c r="Y114" s="30"/>
      <c r="Z114" s="30"/>
    </row>
    <row r="115" ht="57.0" customHeight="1">
      <c r="A115" s="31" t="str">
        <f>HYPERLINK("https://drive.google.com/file/d/1MQX8MZ7fnFmF84gDNyG-4TszBN0QAxAi/view?usp=sharing","2006-37")</f>
        <v>2006-37</v>
      </c>
      <c r="B115" s="32" t="str">
        <f>HYPERLINK("https://drive.google.com/file/d/1MQX8MZ7fnFmF84gDNyG-4TszBN0QAxAi/view?usp=sharing","O PROCESSO DE SUBSTITUIÇÃO DE IMPORTAÇÕES: UMA ABORDAGEM À INDUSTRIALIZAÇÃO BRASILEIRA COM ÊNFASE NO PERÍODO DE 1930 A 1960")</f>
        <v>O PROCESSO DE SUBSTITUIÇÃO DE IMPORTAÇÕES: UMA ABORDAGEM À INDUSTRIALIZAÇÃO BRASILEIRA COM ÊNFASE NO PERÍODO DE 1930 A 1960</v>
      </c>
      <c r="C115" s="33" t="s">
        <v>52</v>
      </c>
      <c r="D115" s="33" t="s">
        <v>374</v>
      </c>
      <c r="E115" s="33" t="s">
        <v>375</v>
      </c>
      <c r="F115" s="33" t="s">
        <v>170</v>
      </c>
      <c r="G115" s="34">
        <v>38939.0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30"/>
      <c r="T115" s="30"/>
      <c r="U115" s="30"/>
      <c r="V115" s="30"/>
      <c r="W115" s="30"/>
      <c r="X115" s="30"/>
      <c r="Y115" s="30"/>
      <c r="Z115" s="30"/>
    </row>
    <row r="116" ht="42.75" customHeight="1">
      <c r="A116" s="25" t="str">
        <f>HYPERLINK("https://drive.google.com/file/d/17KfIDfnTjxWFNq3643aCtVruwtyVggbm/view?usp=sharing","2006-38")</f>
        <v>2006-38</v>
      </c>
      <c r="B116" s="26" t="str">
        <f>HYPERLINK("https://drive.google.com/file/d/17KfIDfnTjxWFNq3643aCtVruwtyVggbm/view?usp=sharing","ANÁLISE DAS TEORIAS CEPALINAS NO PERÍODO DE 1949 À 1999")</f>
        <v>ANÁLISE DAS TEORIAS CEPALINAS NO PERÍODO DE 1949 À 1999</v>
      </c>
      <c r="C116" s="27" t="s">
        <v>311</v>
      </c>
      <c r="D116" s="27" t="s">
        <v>376</v>
      </c>
      <c r="E116" s="27" t="s">
        <v>377</v>
      </c>
      <c r="F116" s="27" t="s">
        <v>170</v>
      </c>
      <c r="G116" s="28">
        <v>39140.0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30"/>
      <c r="T116" s="30"/>
      <c r="U116" s="30"/>
      <c r="V116" s="30"/>
      <c r="W116" s="30"/>
      <c r="X116" s="30"/>
      <c r="Y116" s="30"/>
      <c r="Z116" s="30"/>
    </row>
    <row r="117" ht="38.25" customHeight="1">
      <c r="A117" s="31" t="str">
        <f>HYPERLINK("https://drive.google.com/file/d/1TUz6_ABCks2fNQii8Mf37jlJkZdy_Wiw/view?usp=sharing","2006-39")</f>
        <v>2006-39</v>
      </c>
      <c r="B117" s="32" t="str">
        <f>HYPERLINK("https://drive.google.com/file/d/1TUz6_ABCks2fNQii8Mf37jlJkZdy_Wiw/view?usp=sharing","ANÁLISE DA POLÍTICA MONETÁRIA PRATICADA DURANTE O GOVERNO FERNANDO COLLOR, NO PERÍODO DE 1990 A 1992")</f>
        <v>ANÁLISE DA POLÍTICA MONETÁRIA PRATICADA DURANTE O GOVERNO FERNANDO COLLOR, NO PERÍODO DE 1990 A 1992</v>
      </c>
      <c r="C117" s="33" t="s">
        <v>13</v>
      </c>
      <c r="D117" s="33" t="s">
        <v>378</v>
      </c>
      <c r="E117" s="33" t="s">
        <v>379</v>
      </c>
      <c r="F117" s="33" t="s">
        <v>64</v>
      </c>
      <c r="G117" s="34">
        <v>39150.0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30"/>
      <c r="T117" s="30"/>
      <c r="U117" s="30"/>
      <c r="V117" s="30"/>
      <c r="W117" s="30"/>
      <c r="X117" s="30"/>
      <c r="Y117" s="30"/>
      <c r="Z117" s="30"/>
    </row>
    <row r="118" ht="42.75" customHeight="1">
      <c r="A118" s="25" t="str">
        <f>HYPERLINK("https://drive.google.com/file/d/1m8ITXIF2JJTJE2uhQhFna1f40N9VGV0f/view?usp=sharing","2006-40")</f>
        <v>2006-40</v>
      </c>
      <c r="B118" s="26" t="str">
        <f>HYPERLINK("https://drive.google.com/file/d/1m8ITXIF2JJTJE2uhQhFna1f40N9VGV0f/view?usp=sharing","ANÁLISE DO CUSTO / BENEFICIO DA SERINGUEIRA EM DIFERENTES SISTEMAS DE EXPLORAÇÃO")</f>
        <v>ANÁLISE DO CUSTO / BENEFICIO DA SERINGUEIRA EM DIFERENTES SISTEMAS DE EXPLORAÇÃO</v>
      </c>
      <c r="C118" s="27" t="s">
        <v>380</v>
      </c>
      <c r="D118" s="27" t="s">
        <v>381</v>
      </c>
      <c r="E118" s="27" t="s">
        <v>382</v>
      </c>
      <c r="F118" s="27" t="s">
        <v>383</v>
      </c>
      <c r="G118" s="28">
        <v>39051.0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30"/>
      <c r="T118" s="30"/>
      <c r="U118" s="30"/>
      <c r="V118" s="30"/>
      <c r="W118" s="30"/>
      <c r="X118" s="30"/>
      <c r="Y118" s="30"/>
      <c r="Z118" s="30"/>
    </row>
    <row r="119" ht="42.75" customHeight="1">
      <c r="A119" s="31" t="str">
        <f>HYPERLINK("https://drive.google.com/file/d/1lr2ld156Te9O53mcyotf8osXXgIDJlHE/view?usp=sharing","2006-41")</f>
        <v>2006-41</v>
      </c>
      <c r="B119" s="32" t="str">
        <f>HYPERLINK("https://drive.google.com/file/d/1lr2ld156Te9O53mcyotf8osXXgIDJlHE/view?usp=sharing","A EXECUÇÃO ORÇAMENTÁRIA DA PREFEITURA MUNICIPAL DE SERRINHA (BAHIA) NO PERÍODO DE 1996-2004")</f>
        <v>A EXECUÇÃO ORÇAMENTÁRIA DA PREFEITURA MUNICIPAL DE SERRINHA (BAHIA) NO PERÍODO DE 1996-2004</v>
      </c>
      <c r="C119" s="33" t="s">
        <v>23</v>
      </c>
      <c r="D119" s="33" t="s">
        <v>384</v>
      </c>
      <c r="E119" s="33" t="s">
        <v>385</v>
      </c>
      <c r="F119" s="33" t="s">
        <v>147</v>
      </c>
      <c r="G119" s="34">
        <v>38987.0</v>
      </c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30"/>
      <c r="T119" s="30"/>
      <c r="U119" s="30"/>
      <c r="V119" s="30"/>
      <c r="W119" s="30"/>
      <c r="X119" s="30"/>
      <c r="Y119" s="30"/>
      <c r="Z119" s="30"/>
    </row>
    <row r="120" ht="42.75" customHeight="1">
      <c r="A120" s="25" t="str">
        <f>HYPERLINK("https://drive.google.com/file/d/1XRatak4tYD3hLDvIxfh3j05Djmq4rQNk/view?usp=sharing","2006-42")</f>
        <v>2006-42</v>
      </c>
      <c r="B120" s="26" t="str">
        <f>HYPERLINK("https://drive.google.com/file/d/1XRatak4tYD3hLDvIxfh3j05Djmq4rQNk/view?usp=sharing","MERCADO E COMERCIALIZAÇÃO DO CAMARÃO PESCADO NOS MUNICÍPIOS DE ILHÉUS E ITACARÉ, BAHIA")</f>
        <v>MERCADO E COMERCIALIZAÇÃO DO CAMARÃO PESCADO NOS MUNICÍPIOS DE ILHÉUS E ITACARÉ, BAHIA</v>
      </c>
      <c r="C120" s="27" t="s">
        <v>386</v>
      </c>
      <c r="D120" s="27" t="s">
        <v>387</v>
      </c>
      <c r="E120" s="27" t="s">
        <v>388</v>
      </c>
      <c r="F120" s="27" t="s">
        <v>114</v>
      </c>
      <c r="G120" s="28">
        <v>38965.0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30"/>
      <c r="T120" s="30"/>
      <c r="U120" s="30"/>
      <c r="V120" s="30"/>
      <c r="W120" s="30"/>
      <c r="X120" s="30"/>
      <c r="Y120" s="30"/>
      <c r="Z120" s="30"/>
    </row>
    <row r="121" ht="38.25" customHeight="1">
      <c r="A121" s="31" t="str">
        <f>HYPERLINK("https://drive.google.com/file/d/1VaGQnAmWJQ_eW8cJFeIBN2m0eWHJuZOV/view?usp=sharing","2006-43")</f>
        <v>2006-43</v>
      </c>
      <c r="B121" s="32" t="str">
        <f>HYPERLINK("https://drive.google.com/file/d/1VaGQnAmWJQ_eW8cJFeIBN2m0eWHJuZOV/view?usp=sharing","A CONTROVÉRSIA TEÓRICA DOS SALÁRIOS NA ECONOMIA: A VISÃO CLÁSSICA, DE KEYNES E DE KALECKI")</f>
        <v>A CONTROVÉRSIA TEÓRICA DOS SALÁRIOS NA ECONOMIA: A VISÃO CLÁSSICA, DE KEYNES E DE KALECKI</v>
      </c>
      <c r="C121" s="33" t="s">
        <v>311</v>
      </c>
      <c r="D121" s="33" t="s">
        <v>389</v>
      </c>
      <c r="E121" s="33" t="s">
        <v>390</v>
      </c>
      <c r="F121" s="33" t="s">
        <v>162</v>
      </c>
      <c r="G121" s="34">
        <v>38989.0</v>
      </c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30"/>
      <c r="T121" s="30"/>
      <c r="U121" s="30"/>
      <c r="V121" s="30"/>
      <c r="W121" s="30"/>
      <c r="X121" s="30"/>
      <c r="Y121" s="30"/>
      <c r="Z121" s="30"/>
    </row>
    <row r="122" ht="42.75" customHeight="1">
      <c r="A122" s="25" t="str">
        <f>HYPERLINK("https://drive.google.com/file/d/1xOXZGXvqQrtAnBhiqxTMLjFmjjQ6t-8q/view?usp=sharing","2006-44")</f>
        <v>2006-44</v>
      </c>
      <c r="B122" s="26" t="str">
        <f>HYPERLINK("https://drive.google.com/file/d/1xOXZGXvqQrtAnBhiqxTMLjFmjjQ6t-8q/view?usp=sharing","ANÁLISE DA DEMANDA DE CARNE BOVINA NO BRASIL NO PERÍODO DE 1996 A 2005")</f>
        <v>ANÁLISE DA DEMANDA DE CARNE BOVINA NO BRASIL NO PERÍODO DE 1996 A 2005</v>
      </c>
      <c r="C122" s="27" t="s">
        <v>47</v>
      </c>
      <c r="D122" s="27" t="s">
        <v>391</v>
      </c>
      <c r="E122" s="27" t="s">
        <v>392</v>
      </c>
      <c r="F122" s="27" t="s">
        <v>68</v>
      </c>
      <c r="G122" s="28">
        <v>39051.0</v>
      </c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30"/>
      <c r="T122" s="30"/>
      <c r="U122" s="30"/>
      <c r="V122" s="30"/>
      <c r="W122" s="30"/>
      <c r="X122" s="30"/>
      <c r="Y122" s="30"/>
      <c r="Z122" s="30"/>
    </row>
    <row r="123" ht="42.75" customHeight="1">
      <c r="A123" s="31" t="str">
        <f>HYPERLINK("https://drive.google.com/file/d/1NZblg-dGU5T1ybjp8fsz4bR5eKCWA2hg/view?usp=sharing","2006-45")</f>
        <v>2006-45</v>
      </c>
      <c r="B123" s="32" t="str">
        <f>HYPERLINK("https://drive.google.com/file/d/1NZblg-dGU5T1ybjp8fsz4bR5eKCWA2hg/view?usp=sharing","O PERFIL DOS CLIENTES DO OMEGA HOTEL, ITABUNA-BAHIA: ESTUDO DE CASO DE FIDELIDADE NO PERÍODO DE 2004-2005")</f>
        <v>O PERFIL DOS CLIENTES DO OMEGA HOTEL, ITABUNA-BAHIA: ESTUDO DE CASO DE FIDELIDADE NO PERÍODO DE 2004-2005</v>
      </c>
      <c r="C123" s="33" t="s">
        <v>33</v>
      </c>
      <c r="D123" s="33" t="s">
        <v>393</v>
      </c>
      <c r="E123" s="33" t="s">
        <v>394</v>
      </c>
      <c r="F123" s="33" t="s">
        <v>26</v>
      </c>
      <c r="G123" s="34">
        <v>38825.0</v>
      </c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30"/>
      <c r="T123" s="30"/>
      <c r="U123" s="30"/>
      <c r="V123" s="30"/>
      <c r="W123" s="30"/>
      <c r="X123" s="30"/>
      <c r="Y123" s="30"/>
      <c r="Z123" s="30"/>
    </row>
    <row r="124" ht="42.75" customHeight="1">
      <c r="A124" s="25" t="str">
        <f>HYPERLINK("https://drive.google.com/file/d/1N-0IQcsZ2V5YO93ZhoACUFdhwLUSWqHF/view?usp=sharing","2006-46")</f>
        <v>2006-46</v>
      </c>
      <c r="B124" s="26" t="str">
        <f>HYPERLINK("https://drive.google.com/file/d/1N-0IQcsZ2V5YO93ZhoACUFdhwLUSWqHF/view?usp=sharing","ANÁLISE DO CRESCIMENTO DO BENEFÍCIO DE AUXÍLIO-DOENÇA: IMPACTO NA PREVIDÊNCIA SOCIAL DO BRASIL, 2000 – 2005 ")</f>
        <v>ANÁLISE DO CRESCIMENTO DO BENEFÍCIO DE AUXÍLIO-DOENÇA: IMPACTO NA PREVIDÊNCIA SOCIAL DO BRASIL, 2000 – 2005 </v>
      </c>
      <c r="C124" s="27" t="s">
        <v>23</v>
      </c>
      <c r="D124" s="27" t="s">
        <v>395</v>
      </c>
      <c r="E124" s="27" t="s">
        <v>396</v>
      </c>
      <c r="F124" s="27" t="s">
        <v>147</v>
      </c>
      <c r="G124" s="28">
        <v>39106.0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30"/>
      <c r="T124" s="30"/>
      <c r="U124" s="30"/>
      <c r="V124" s="30"/>
      <c r="W124" s="30"/>
      <c r="X124" s="30"/>
      <c r="Y124" s="30"/>
      <c r="Z124" s="30"/>
    </row>
    <row r="125" ht="38.25" customHeight="1">
      <c r="A125" s="31" t="str">
        <f>HYPERLINK("https://drive.google.com/file/d/1NDy1z61OA67O6HxyP8q_gx5YVe1PTaeC/view?usp=sharing","2006-47")</f>
        <v>2006-47</v>
      </c>
      <c r="B125" s="32" t="str">
        <f>HYPERLINK("https://drive.google.com/file/d/1NDy1z61OA67O6HxyP8q_gx5YVe1PTaeC/view?usp=sharing","A ATIVIDADE DO ECONEGÓCIO DA MATA ATLÂNTICA: O CASO DAS FIBRAS DE CIPÓS NOS MUNICÍPIOS DE ILHÉUS E ITABUNA, BAHIA")</f>
        <v>A ATIVIDADE DO ECONEGÓCIO DA MATA ATLÂNTICA: O CASO DAS FIBRAS DE CIPÓS NOS MUNICÍPIOS DE ILHÉUS E ITABUNA, BAHIA</v>
      </c>
      <c r="C125" s="33" t="s">
        <v>43</v>
      </c>
      <c r="D125" s="33" t="s">
        <v>397</v>
      </c>
      <c r="E125" s="33" t="s">
        <v>398</v>
      </c>
      <c r="F125" s="33" t="s">
        <v>399</v>
      </c>
      <c r="G125" s="34">
        <v>39051.0</v>
      </c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30"/>
      <c r="T125" s="30"/>
      <c r="U125" s="30"/>
      <c r="V125" s="30"/>
      <c r="W125" s="30"/>
      <c r="X125" s="30"/>
      <c r="Y125" s="30"/>
      <c r="Z125" s="30"/>
    </row>
    <row r="126" ht="42.75" customHeight="1">
      <c r="A126" s="25" t="str">
        <f>HYPERLINK("https://drive.google.com/file/d/1klNI4fwcsGghX0RQ-ETaDOieEZRIBJ8n/view?usp=sharing","2006-48")</f>
        <v>2006-48</v>
      </c>
      <c r="B126" s="26" t="str">
        <f>HYPERLINK("https://drive.google.com/file/d/1klNI4fwcsGghX0RQ-ETaDOieEZRIBJ8n/view?usp=sharing","ANÁLISE DA INFRA-ESTRUTURA DE APOIO TURÍSTICO: O CASO DO MUNICÍPIO DE ILHÉUS-BA. PERCEPÇÃO DOS TURISTAS E MORADORES")</f>
        <v>ANÁLISE DA INFRA-ESTRUTURA DE APOIO TURÍSTICO: O CASO DO MUNICÍPIO DE ILHÉUS-BA. PERCEPÇÃO DOS TURISTAS E MORADORES</v>
      </c>
      <c r="C126" s="27" t="s">
        <v>33</v>
      </c>
      <c r="D126" s="27" t="s">
        <v>400</v>
      </c>
      <c r="E126" s="27" t="s">
        <v>401</v>
      </c>
      <c r="F126" s="27" t="s">
        <v>68</v>
      </c>
      <c r="G126" s="28">
        <v>39051.0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30"/>
      <c r="T126" s="30"/>
      <c r="U126" s="30"/>
      <c r="V126" s="30"/>
      <c r="W126" s="30"/>
      <c r="X126" s="30"/>
      <c r="Y126" s="30"/>
      <c r="Z126" s="30"/>
    </row>
    <row r="127" ht="42.75" customHeight="1">
      <c r="A127" s="31" t="str">
        <f>HYPERLINK("https://drive.google.com/file/d/1hNSXOJ_yNABKlKBPCtGCniD0EnFhZrUp/view?usp=sharing","2006-49")</f>
        <v>2006-49</v>
      </c>
      <c r="B127" s="32" t="str">
        <f>HYPERLINK("https://drive.google.com/file/d/1hNSXOJ_yNABKlKBPCtGCniD0EnFhZrUp/view?usp=sharing","ANÁLISE DOS IMPACTOS SOCIOECONÔMICOS DA ATIVIDADE TURÍSTICA EM ITACARÉ - BAHIA")</f>
        <v>ANÁLISE DOS IMPACTOS SOCIOECONÔMICOS DA ATIVIDADE TURÍSTICA EM ITACARÉ - BAHIA</v>
      </c>
      <c r="C127" s="33" t="s">
        <v>33</v>
      </c>
      <c r="D127" s="33" t="s">
        <v>402</v>
      </c>
      <c r="E127" s="33" t="s">
        <v>403</v>
      </c>
      <c r="F127" s="33" t="s">
        <v>68</v>
      </c>
      <c r="G127" s="34">
        <v>38930.0</v>
      </c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30"/>
      <c r="T127" s="30"/>
      <c r="U127" s="30"/>
      <c r="V127" s="30"/>
      <c r="W127" s="30"/>
      <c r="X127" s="30"/>
      <c r="Y127" s="30"/>
      <c r="Z127" s="30"/>
    </row>
    <row r="128" ht="28.5" customHeight="1">
      <c r="A128" s="43" t="str">
        <f>HYPERLINK("https://drive.google.com/file/d/1c9GuiTDEliPCt8ziEqduA95bIxCcrDQy/view?usp=sharing","2006-50")</f>
        <v>2006-50</v>
      </c>
      <c r="B128" s="26" t="str">
        <f>HYPERLINK("https://drive.google.com/file/d/1c9GuiTDEliPCt8ziEqduA95bIxCcrDQy/view?usp=sharing","FETICHE DO COOPERATIVISMO DE TRABALHO: COOLABOR.")</f>
        <v>FETICHE DO COOPERATIVISMO DE TRABALHO: COOLABOR.</v>
      </c>
      <c r="C128" s="27" t="s">
        <v>276</v>
      </c>
      <c r="D128" s="27" t="s">
        <v>404</v>
      </c>
      <c r="E128" s="27" t="s">
        <v>405</v>
      </c>
      <c r="F128" s="27" t="s">
        <v>123</v>
      </c>
      <c r="G128" s="28">
        <v>39051.0</v>
      </c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42.75" customHeight="1">
      <c r="A129" s="31" t="str">
        <f>HYPERLINK("https://drive.google.com/file/d/1ejIKKsr7JBhF9KryPk4w5wzvS2UqDBF7/view?usp=sharing","2006-51")</f>
        <v>2006-51</v>
      </c>
      <c r="B129" s="32" t="str">
        <f>HYPERLINK("https://drive.google.com/file/d/1ejIKKsr7JBhF9KryPk4w5wzvS2UqDBF7/view?usp=sharing","CAPACITAÇÃO DA MÃO-DE-OBRA NO SETOR HOTELEIRO DA CIDADE DE ITABUNA – BAHIA")</f>
        <v>CAPACITAÇÃO DA MÃO-DE-OBRA NO SETOR HOTELEIRO DA CIDADE DE ITABUNA – BAHIA</v>
      </c>
      <c r="C129" s="33" t="s">
        <v>33</v>
      </c>
      <c r="D129" s="33" t="s">
        <v>406</v>
      </c>
      <c r="E129" s="33" t="s">
        <v>407</v>
      </c>
      <c r="F129" s="33" t="s">
        <v>36</v>
      </c>
      <c r="G129" s="34">
        <v>39009.0</v>
      </c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30"/>
      <c r="T129" s="30"/>
      <c r="U129" s="30"/>
      <c r="V129" s="30"/>
      <c r="W129" s="30"/>
      <c r="X129" s="30"/>
      <c r="Y129" s="30"/>
      <c r="Z129" s="30"/>
    </row>
    <row r="130" ht="28.5" customHeight="1">
      <c r="A130" s="25" t="str">
        <f>HYPERLINK("https://drive.google.com/file/d/1Z7EZgnW82E4D9YPcf9wz17FuFl_eC5b1/view?usp=sharing","2006-52")</f>
        <v>2006-52</v>
      </c>
      <c r="B130" s="26" t="str">
        <f>HYPERLINK("https://drive.google.com/file/d/1Z7EZgnW82E4D9YPcf9wz17FuFl_eC5b1/view?usp=sharing","TURISMO DE EVENTOS: O POTENCIAL DE ITABUNA – BA")</f>
        <v>TURISMO DE EVENTOS: O POTENCIAL DE ITABUNA – BA</v>
      </c>
      <c r="C130" s="27" t="s">
        <v>33</v>
      </c>
      <c r="D130" s="27" t="s">
        <v>408</v>
      </c>
      <c r="E130" s="27" t="s">
        <v>409</v>
      </c>
      <c r="F130" s="27" t="s">
        <v>399</v>
      </c>
      <c r="G130" s="28">
        <v>38826.0</v>
      </c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30"/>
      <c r="T130" s="30"/>
      <c r="U130" s="30"/>
      <c r="V130" s="30"/>
      <c r="W130" s="30"/>
      <c r="X130" s="30"/>
      <c r="Y130" s="30"/>
      <c r="Z130" s="30"/>
    </row>
    <row r="131" ht="63.75" customHeight="1">
      <c r="A131" s="31" t="str">
        <f>HYPERLINK("https://drive.google.com/file/d/1jXgKsBWwfi4Q5Ejf5shmkwjQnI9LHw-3/view?usp=sharing","2006-53")</f>
        <v>2006-53</v>
      </c>
      <c r="B131" s="32" t="str">
        <f>HYPERLINK("https://drive.google.com/file/d/1jXgKsBWwfi4Q5Ejf5shmkwjQnI9LHw-3/view?usp=sharing","O IMPACTO ECONÔMICO DA IMPLANTAÇÃO DA ISO 9001:2000 NOS CUSTOS E RECEITAS DAS EMPRESAS DE INFORMÁTICA DE ILHÉUS: ESTUDO DE CASO: A LÍDER CHIP COMPUTADORES")</f>
        <v>O IMPACTO ECONÔMICO DA IMPLANTAÇÃO DA ISO 9001:2000 NOS CUSTOS E RECEITAS DAS EMPRESAS DE INFORMÁTICA DE ILHÉUS: ESTUDO DE CASO: A LÍDER CHIP COMPUTADORES</v>
      </c>
      <c r="C131" s="33" t="s">
        <v>410</v>
      </c>
      <c r="D131" s="33" t="s">
        <v>411</v>
      </c>
      <c r="E131" s="33" t="s">
        <v>412</v>
      </c>
      <c r="F131" s="33" t="s">
        <v>413</v>
      </c>
      <c r="G131" s="34">
        <v>39051.0</v>
      </c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30"/>
      <c r="T131" s="30"/>
      <c r="U131" s="30"/>
      <c r="V131" s="30"/>
      <c r="W131" s="30"/>
      <c r="X131" s="30"/>
      <c r="Y131" s="30"/>
      <c r="Z131" s="30"/>
    </row>
    <row r="132" ht="38.25" customHeight="1">
      <c r="A132" s="25" t="str">
        <f>HYPERLINK("https://drive.google.com/file/d/1ewPjyEJM6lQLSan63T__7KgLgg6Q-zro/view?usp=sharing","2006-54")</f>
        <v>2006-54</v>
      </c>
      <c r="B132" s="26" t="str">
        <f>HYPERLINK("https://drive.google.com/file/d/1ewPjyEJM6lQLSan63T__7KgLgg6Q-zro/view?usp=sharing","COMPORTAMENTO DO CUSTO DA CESTA BÁSICA NAS CIDADES DE ILHÉUS E ITABUNA, BAHIA, AGOSTO DE 2004 A JUNHO DE 2006")</f>
        <v>COMPORTAMENTO DO CUSTO DA CESTA BÁSICA NAS CIDADES DE ILHÉUS E ITABUNA, BAHIA, AGOSTO DE 2004 A JUNHO DE 2006</v>
      </c>
      <c r="C132" s="27" t="s">
        <v>116</v>
      </c>
      <c r="D132" s="27" t="s">
        <v>414</v>
      </c>
      <c r="E132" s="27" t="s">
        <v>415</v>
      </c>
      <c r="F132" s="27" t="s">
        <v>73</v>
      </c>
      <c r="G132" s="28">
        <v>38965.0</v>
      </c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30"/>
      <c r="T132" s="30"/>
      <c r="U132" s="30"/>
      <c r="V132" s="30"/>
      <c r="W132" s="30"/>
      <c r="X132" s="30"/>
      <c r="Y132" s="30"/>
      <c r="Z132" s="30"/>
    </row>
    <row r="133" ht="38.25" customHeight="1">
      <c r="A133" s="31" t="str">
        <f>HYPERLINK("https://drive.google.com/file/d/1G0S2h31PDookRqEnkeDay1mvQmpFugZY/view?usp=sharing","2006-55")</f>
        <v>2006-55</v>
      </c>
      <c r="B133" s="32" t="str">
        <f>HYPERLINK("https://drive.google.com/file/d/1G0S2h31PDookRqEnkeDay1mvQmpFugZY/view?usp=sharing","A EVOLUÇÃO DA EXPORTAÇÃO DE CARNE BOVINA BRASILEIRA NO PERÍODO DE 1996 A 2004")</f>
        <v>A EVOLUÇÃO DA EXPORTAÇÃO DE CARNE BOVINA BRASILEIRA NO PERÍODO DE 1996 A 2004</v>
      </c>
      <c r="C133" s="33" t="s">
        <v>47</v>
      </c>
      <c r="D133" s="33" t="s">
        <v>416</v>
      </c>
      <c r="E133" s="33" t="s">
        <v>417</v>
      </c>
      <c r="F133" s="33" t="s">
        <v>205</v>
      </c>
      <c r="G133" s="34">
        <v>38818.0</v>
      </c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30"/>
      <c r="T133" s="30"/>
      <c r="U133" s="30"/>
      <c r="V133" s="30"/>
      <c r="W133" s="30"/>
      <c r="X133" s="30"/>
      <c r="Y133" s="30"/>
      <c r="Z133" s="30"/>
    </row>
    <row r="134" ht="38.25" customHeight="1">
      <c r="A134" s="25" t="str">
        <f>HYPERLINK("https://drive.google.com/file/d/1UA-GMNJyBKtO7HrXD-o0rAw5xtX2c4VR/view?usp=sharing","2006-56")</f>
        <v>2006-56</v>
      </c>
      <c r="B134" s="26" t="str">
        <f>HYPERLINK("https://drive.google.com/file/d/1UA-GMNJyBKtO7HrXD-o0rAw5xtX2c4VR/view?usp=sharing","O IMPACTO DAS TAXAS DE DESEMPREGO ABERTO NO MERCADO INFORMAL: UM ESTUDO ENTRE OS ANOS DE 1995 A 2000 NO BRASIL")</f>
        <v>O IMPACTO DAS TAXAS DE DESEMPREGO ABERTO NO MERCADO INFORMAL: UM ESTUDO ENTRE OS ANOS DE 1995 A 2000 NO BRASIL</v>
      </c>
      <c r="C134" s="27" t="s">
        <v>18</v>
      </c>
      <c r="D134" s="27" t="s">
        <v>418</v>
      </c>
      <c r="E134" s="27" t="s">
        <v>419</v>
      </c>
      <c r="F134" s="27" t="s">
        <v>300</v>
      </c>
      <c r="G134" s="28">
        <v>38826.0</v>
      </c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30"/>
      <c r="T134" s="30"/>
      <c r="U134" s="30"/>
      <c r="V134" s="30"/>
      <c r="W134" s="30"/>
      <c r="X134" s="30"/>
      <c r="Y134" s="30"/>
      <c r="Z134" s="30"/>
    </row>
    <row r="135" ht="51.0" customHeight="1">
      <c r="A135" s="31" t="str">
        <f>HYPERLINK("https://drive.google.com/file/d/1Hr8lgDAN4YLvI1qff5LDGLuXx_jM0Boa/view?usp=sharing","2006-57")</f>
        <v>2006-57</v>
      </c>
      <c r="B135" s="32" t="str">
        <f>HYPERLINK("https://drive.google.com/file/d/1Hr8lgDAN4YLvI1qff5LDGLuXx_jM0Boa/view?usp=sharing","ANÁLISE DA EVOLUÇÃO DO PRODUTO INTERNO BRUTO, POR SETOR DE ATIVIDADE ECONÔMICA, DO MUNICÍPIO DE ILHÉUS – BAHIA, ENTRE OS ANOS DE 1999 E 2003")</f>
        <v>ANÁLISE DA EVOLUÇÃO DO PRODUTO INTERNO BRUTO, POR SETOR DE ATIVIDADE ECONÔMICA, DO MUNICÍPIO DE ILHÉUS – BAHIA, ENTRE OS ANOS DE 1999 E 2003</v>
      </c>
      <c r="C135" s="33" t="s">
        <v>23</v>
      </c>
      <c r="D135" s="33" t="s">
        <v>420</v>
      </c>
      <c r="E135" s="33" t="s">
        <v>421</v>
      </c>
      <c r="F135" s="33" t="s">
        <v>147</v>
      </c>
      <c r="G135" s="34">
        <v>38990.0</v>
      </c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30"/>
      <c r="T135" s="30"/>
      <c r="U135" s="30"/>
      <c r="V135" s="30"/>
      <c r="W135" s="30"/>
      <c r="X135" s="30"/>
      <c r="Y135" s="30"/>
      <c r="Z135" s="30"/>
    </row>
    <row r="136" ht="38.25" customHeight="1">
      <c r="A136" s="25" t="str">
        <f>HYPERLINK("https://drive.google.com/file/d/1ypcfevItVD5iUN4iVVKGo_8BU7h7DOSc/view?usp=sharing","2006-58")</f>
        <v>2006-58</v>
      </c>
      <c r="B136" s="26" t="str">
        <f>HYPERLINK("https://drive.google.com/file/d/1ypcfevItVD5iUN4iVVKGo_8BU7h7DOSc/view?usp=sharing","ANÁLISE DO DESENVOLVIMENTO DO ECOTURISMO EM ITAITÚ - MUNICÍPIO DE JACOBINA - BA")</f>
        <v>ANÁLISE DO DESENVOLVIMENTO DO ECOTURISMO EM ITAITÚ - MUNICÍPIO DE JACOBINA - BA</v>
      </c>
      <c r="C136" s="27" t="s">
        <v>33</v>
      </c>
      <c r="D136" s="27" t="s">
        <v>422</v>
      </c>
      <c r="E136" s="27" t="s">
        <v>423</v>
      </c>
      <c r="F136" s="27" t="s">
        <v>180</v>
      </c>
      <c r="G136" s="28">
        <v>38946.0</v>
      </c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30"/>
      <c r="T136" s="30"/>
      <c r="U136" s="30"/>
      <c r="V136" s="30"/>
      <c r="W136" s="30"/>
      <c r="X136" s="30"/>
      <c r="Y136" s="30"/>
      <c r="Z136" s="30"/>
    </row>
    <row r="137" ht="28.5" customHeight="1">
      <c r="A137" s="44" t="str">
        <f>HYPERLINK("https://drive.google.com/file/d/124OAuF0Qh0u56mnqxPV6Kto71g0a48wB/view?usp=sharing","2006-59")</f>
        <v>2006-59</v>
      </c>
      <c r="B137" s="32" t="str">
        <f>HYPERLINK("https://drive.google.com/file/d/124OAuF0Qh0u56mnqxPV6Kto71g0a48wB/view?usp=sharing","O PERFIL DO ATENDIMENTO DA SORVETERIA FLORENÇA")</f>
        <v>O PERFIL DO ATENDIMENTO DA SORVETERIA FLORENÇA</v>
      </c>
      <c r="C137" s="33" t="s">
        <v>424</v>
      </c>
      <c r="D137" s="33" t="s">
        <v>425</v>
      </c>
      <c r="E137" s="33" t="s">
        <v>426</v>
      </c>
      <c r="F137" s="33" t="s">
        <v>300</v>
      </c>
      <c r="G137" s="36">
        <v>2006.0</v>
      </c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30"/>
      <c r="T137" s="30"/>
      <c r="U137" s="30"/>
      <c r="V137" s="30"/>
      <c r="W137" s="30"/>
      <c r="X137" s="30"/>
      <c r="Y137" s="30"/>
      <c r="Z137" s="30"/>
    </row>
    <row r="138" ht="28.5" customHeight="1">
      <c r="A138" s="25" t="str">
        <f>HYPERLINK("https://drive.google.com/file/d/1SY--5vV77812HrU0FmsRfkds8LgT-M2Z/view?usp=sharing","2006-60")</f>
        <v>2006-60</v>
      </c>
      <c r="B138" s="26" t="str">
        <f>HYPERLINK("https://drive.google.com/file/d/1SY--5vV77812HrU0FmsRfkds8LgT-M2Z/view?usp=sharing","CRÉDITO HABITACIONAL: acesso à população de baixa renda no município de Itabuna, Bahia")</f>
        <v>CRÉDITO HABITACIONAL: acesso à população de baixa renda no município de Itabuna, Bahia</v>
      </c>
      <c r="C138" s="27" t="s">
        <v>70</v>
      </c>
      <c r="D138" s="27" t="s">
        <v>427</v>
      </c>
      <c r="E138" s="27" t="s">
        <v>428</v>
      </c>
      <c r="F138" s="27" t="s">
        <v>184</v>
      </c>
      <c r="G138" s="35">
        <v>2006.0</v>
      </c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30"/>
      <c r="T138" s="30"/>
      <c r="U138" s="30"/>
      <c r="V138" s="30"/>
      <c r="W138" s="30"/>
      <c r="X138" s="30"/>
      <c r="Y138" s="30"/>
      <c r="Z138" s="30"/>
    </row>
    <row r="139" ht="43.5" customHeight="1">
      <c r="A139" s="31" t="str">
        <f>HYPERLINK("https://drive.google.com/file/d/1iuR-XPcGcK8L25p-g4fYSgHZfPeWG2um/view?usp=sharing","2006-61")</f>
        <v>2006-61</v>
      </c>
      <c r="B139" s="32" t="str">
        <f>HYPERLINK("https://drive.google.com/file/d/1iuR-XPcGcK8L25p-g4fYSgHZfPeWG2um/view?usp=sharing","CONTRIBUIÇÃO DA ASSOCIOÇÃO DE ARTESÕES DE ITABUNA NO DESENVOLVIMENTO  SÓCIOECONÔMICO DESSES PROFISSIONAIS")</f>
        <v>CONTRIBUIÇÃO DA ASSOCIOÇÃO DE ARTESÕES DE ITABUNA NO DESENVOLVIMENTO  SÓCIOECONÔMICO DESSES PROFISSIONAIS</v>
      </c>
      <c r="C139" s="33" t="s">
        <v>61</v>
      </c>
      <c r="D139" s="33" t="s">
        <v>429</v>
      </c>
      <c r="E139" s="33" t="s">
        <v>430</v>
      </c>
      <c r="F139" s="33" t="s">
        <v>31</v>
      </c>
      <c r="G139" s="36">
        <v>2006.0</v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30"/>
      <c r="T139" s="30"/>
      <c r="U139" s="30"/>
      <c r="V139" s="30"/>
      <c r="W139" s="30"/>
      <c r="X139" s="30"/>
      <c r="Y139" s="30"/>
      <c r="Z139" s="30"/>
    </row>
    <row r="140" ht="72.75" customHeight="1">
      <c r="A140" s="31" t="str">
        <f>HYPERLINK("https://drive.google.com/file/d/16W-6scaQtHq9Zy90zNkFyORDns67q5Je/view?usp=sharing","2007-01")</f>
        <v>2007-01</v>
      </c>
      <c r="B140" s="32" t="str">
        <f>HYPERLINK("https://drive.google.com/file/d/16W-6scaQtHq9Zy90zNkFyORDns67q5Je/view?usp=sharing","AS CAUSAS DA INADIMPLÊNCIA NOS FINANCIAMENTOS HABITACIONAIS DA CAIXA ECONÔMICA FEDERAL, AGÊNCIA CENTRO, VITÓRIA DA CONQUISTA-BAHIA, NO ANO DE 2006")</f>
        <v>AS CAUSAS DA INADIMPLÊNCIA NOS FINANCIAMENTOS HABITACIONAIS DA CAIXA ECONÔMICA FEDERAL, AGÊNCIA CENTRO, VITÓRIA DA CONQUISTA-BAHIA, NO ANO DE 2006</v>
      </c>
      <c r="C140" s="33" t="s">
        <v>70</v>
      </c>
      <c r="D140" s="33" t="s">
        <v>431</v>
      </c>
      <c r="E140" s="33" t="s">
        <v>432</v>
      </c>
      <c r="F140" s="33" t="s">
        <v>433</v>
      </c>
      <c r="G140" s="34">
        <v>39154.0</v>
      </c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30"/>
      <c r="T140" s="30"/>
      <c r="U140" s="30"/>
      <c r="V140" s="30"/>
      <c r="W140" s="30"/>
      <c r="X140" s="30"/>
      <c r="Y140" s="30"/>
      <c r="Z140" s="30"/>
    </row>
    <row r="141" ht="42.75" customHeight="1">
      <c r="A141" s="25" t="str">
        <f>HYPERLINK("https://drive.google.com/file/d/1Ohp3zS1IlRh6KVuoKFHCOPGlfrE6jVwE/view?usp=sharing","2007-02")</f>
        <v>2007-02</v>
      </c>
      <c r="B141" s="26" t="str">
        <f>HYPERLINK("https://drive.google.com/file/d/1Ohp3zS1IlRh6KVuoKFHCOPGlfrE6jVwE/view?usp=sharing","ANÁLISE DAS CONDIÇÕES SÓCIO-ECONÔMICAS DOS POLICIAIS MILITARES NA CIDADE DE ILHÉUS - BAHIA, NO PERÍODO 2005-2006")</f>
        <v>ANÁLISE DAS CONDIÇÕES SÓCIO-ECONÔMICAS DOS POLICIAIS MILITARES NA CIDADE DE ILHÉUS - BAHIA, NO PERÍODO 2005-2006</v>
      </c>
      <c r="C141" s="27" t="s">
        <v>23</v>
      </c>
      <c r="D141" s="27" t="s">
        <v>434</v>
      </c>
      <c r="E141" s="27" t="s">
        <v>435</v>
      </c>
      <c r="F141" s="27" t="s">
        <v>147</v>
      </c>
      <c r="G141" s="28">
        <v>39290.0</v>
      </c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30"/>
      <c r="T141" s="30"/>
      <c r="U141" s="30"/>
      <c r="V141" s="30"/>
      <c r="W141" s="30"/>
      <c r="X141" s="30"/>
      <c r="Y141" s="30"/>
      <c r="Z141" s="30"/>
    </row>
    <row r="142" ht="42.75" customHeight="1">
      <c r="A142" s="31" t="str">
        <f>HYPERLINK("https://drive.google.com/file/d/1UMMnblYvDv5Fg6RSvtrXMoonPzAk712i/view?usp=sharing","2007-03")</f>
        <v>2007-03</v>
      </c>
      <c r="B142" s="32" t="str">
        <f>HYPERLINK("https://drive.google.com/file/d/1UMMnblYvDv5Fg6RSvtrXMoonPzAk712i/view?usp=sharing","O TURISMO RECEPTIVO NO PERÍODO DE ROMARIA (2006) EM BOM JESUS DA LAPA (BAHIA)")</f>
        <v>O TURISMO RECEPTIVO NO PERÍODO DE ROMARIA (2006) EM BOM JESUS DA LAPA (BAHIA)</v>
      </c>
      <c r="C142" s="33" t="s">
        <v>33</v>
      </c>
      <c r="D142" s="33" t="s">
        <v>436</v>
      </c>
      <c r="E142" s="33" t="s">
        <v>437</v>
      </c>
      <c r="F142" s="33" t="s">
        <v>36</v>
      </c>
      <c r="G142" s="34">
        <v>39171.0</v>
      </c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30"/>
      <c r="T142" s="30"/>
      <c r="U142" s="30"/>
      <c r="V142" s="30"/>
      <c r="W142" s="30"/>
      <c r="X142" s="30"/>
      <c r="Y142" s="30"/>
      <c r="Z142" s="30"/>
    </row>
    <row r="143" ht="42.75" customHeight="1">
      <c r="A143" s="25" t="str">
        <f>HYPERLINK("https://drive.google.com/file/d/1wtWLdvSraseb3bReQ1-KlNU6QinWLYSR/view?usp=sharing","2007-04")</f>
        <v>2007-04</v>
      </c>
      <c r="B143" s="26" t="str">
        <f>HYPERLINK("https://drive.google.com/file/d/1wtWLdvSraseb3bReQ1-KlNU6QinWLYSR/view?usp=sharing","ANÁLISE DA POLÍTICA CAMBIAL ADOTADA DURANTE O PLANO REAL NO PERÍODO  DE JUNHO DE 1994 A JANEIRO DE 2000")</f>
        <v>ANÁLISE DA POLÍTICA CAMBIAL ADOTADA DURANTE O PLANO REAL NO PERÍODO  DE JUNHO DE 1994 A JANEIRO DE 2000</v>
      </c>
      <c r="C143" s="27" t="s">
        <v>167</v>
      </c>
      <c r="D143" s="27" t="s">
        <v>438</v>
      </c>
      <c r="E143" s="27" t="s">
        <v>439</v>
      </c>
      <c r="F143" s="27" t="s">
        <v>170</v>
      </c>
      <c r="G143" s="28">
        <v>39264.0</v>
      </c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30"/>
      <c r="T143" s="30"/>
      <c r="U143" s="30"/>
      <c r="V143" s="30"/>
      <c r="W143" s="30"/>
      <c r="X143" s="30"/>
      <c r="Y143" s="30"/>
      <c r="Z143" s="30"/>
    </row>
    <row r="144" ht="42.75" customHeight="1">
      <c r="A144" s="31" t="str">
        <f>HYPERLINK("https://drive.google.com/file/d/1wiLrPlUL2C4j5G-4YftoOK7uPuQldfJv/view?usp=sharing","2007-05")</f>
        <v>2007-05</v>
      </c>
      <c r="B144" s="32" t="str">
        <f>HYPERLINK("https://drive.google.com/file/d/1wiLrPlUL2C4j5G-4YftoOK7uPuQldfJv/view?usp=sharing","CONTABILIDADE GERENCIAL: FONTE DE DADOS PARA A TOMADA DE DECISÕES NAS EMPRESAS")</f>
        <v>CONTABILIDADE GERENCIAL: FONTE DE DADOS PARA A TOMADA DE DECISÕES NAS EMPRESAS</v>
      </c>
      <c r="C144" s="33" t="s">
        <v>410</v>
      </c>
      <c r="D144" s="33" t="s">
        <v>440</v>
      </c>
      <c r="E144" s="33" t="s">
        <v>441</v>
      </c>
      <c r="F144" s="33" t="s">
        <v>442</v>
      </c>
      <c r="G144" s="34">
        <v>39308.0</v>
      </c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30"/>
      <c r="T144" s="30"/>
      <c r="U144" s="30"/>
      <c r="V144" s="30"/>
      <c r="W144" s="30"/>
      <c r="X144" s="30"/>
      <c r="Y144" s="30"/>
      <c r="Z144" s="30"/>
    </row>
    <row r="145" ht="38.25" customHeight="1">
      <c r="A145" s="25" t="str">
        <f>HYPERLINK("https://drive.google.com/file/d/1cTJSNmljkk_M9nqwn4Q0fCoIGADSzSn_/view?usp=sharing","2007-06")</f>
        <v>2007-06</v>
      </c>
      <c r="B145" s="26" t="str">
        <f>HYPERLINK("https://drive.google.com/file/d/1cTJSNmljkk_M9nqwn4Q0fCoIGADSzSn_/view?usp=sharing","DESENVOLVIMENTO ECONÔMICO DE PORTUGAL NO PERÍODO DE 1995 - 2005, À LUZ DE SCHUMPETER")</f>
        <v>DESENVOLVIMENTO ECONÔMICO DE PORTUGAL NO PERÍODO DE 1995 - 2005, À LUZ DE SCHUMPETER</v>
      </c>
      <c r="C145" s="27" t="s">
        <v>61</v>
      </c>
      <c r="D145" s="27" t="s">
        <v>443</v>
      </c>
      <c r="E145" s="27" t="s">
        <v>444</v>
      </c>
      <c r="F145" s="27" t="s">
        <v>433</v>
      </c>
      <c r="G145" s="28">
        <v>39431.0</v>
      </c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30"/>
      <c r="T145" s="30"/>
      <c r="U145" s="30"/>
      <c r="V145" s="30"/>
      <c r="W145" s="30"/>
      <c r="X145" s="30"/>
      <c r="Y145" s="30"/>
      <c r="Z145" s="30"/>
    </row>
    <row r="146" ht="38.25" customHeight="1">
      <c r="A146" s="31" t="str">
        <f>HYPERLINK("https://drive.google.com/file/d/10DbYtS3PLDMo0kasc4aJHYoFCSCts9oI/view?usp=sharing","2007-07")</f>
        <v>2007-07</v>
      </c>
      <c r="B146" s="32" t="str">
        <f>HYPERLINK("https://drive.google.com/file/d/10DbYtS3PLDMo0kasc4aJHYoFCSCts9oI/view?usp=sharing","INFLUÊNCIA DA TAXA DE CÂMBIO SOBRE A INFLAÇÃO BRASILEIRA NO PERÍODO DO PLANO REAL, 1994 – 2007")</f>
        <v>INFLUÊNCIA DA TAXA DE CÂMBIO SOBRE A INFLAÇÃO BRASILEIRA NO PERÍODO DO PLANO REAL, 1994 – 2007</v>
      </c>
      <c r="C146" s="33" t="s">
        <v>252</v>
      </c>
      <c r="D146" s="33" t="s">
        <v>445</v>
      </c>
      <c r="E146" s="33" t="s">
        <v>446</v>
      </c>
      <c r="F146" s="33" t="s">
        <v>447</v>
      </c>
      <c r="G146" s="34">
        <v>39496.0</v>
      </c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30"/>
      <c r="T146" s="30"/>
      <c r="U146" s="30"/>
      <c r="V146" s="30"/>
      <c r="W146" s="30"/>
      <c r="X146" s="30"/>
      <c r="Y146" s="30"/>
      <c r="Z146" s="30"/>
    </row>
    <row r="147" ht="38.25" customHeight="1">
      <c r="A147" s="25" t="str">
        <f>HYPERLINK("https://drive.google.com/file/d/1msJcaON4KbXdtK8aQYXuSmhZVdi57Zac/view?usp=sharing","2007-08")</f>
        <v>2007-08</v>
      </c>
      <c r="B147" s="26" t="str">
        <f>HYPERLINK("https://drive.google.com/file/d/1msJcaON4KbXdtK8aQYXuSmhZVdi57Zac/view?usp=sharing","DIAGNÓSTICO SÓCIO-ECONÔMICO DO CARNAVAL ANTECIPADO DE ITABUNA – BAHIA, EM 2006")</f>
        <v>DIAGNÓSTICO SÓCIO-ECONÔMICO DO CARNAVAL ANTECIPADO DE ITABUNA – BAHIA, EM 2006</v>
      </c>
      <c r="C147" s="27" t="s">
        <v>23</v>
      </c>
      <c r="D147" s="27" t="s">
        <v>448</v>
      </c>
      <c r="E147" s="27" t="s">
        <v>449</v>
      </c>
      <c r="F147" s="27" t="s">
        <v>88</v>
      </c>
      <c r="G147" s="28">
        <v>39507.0</v>
      </c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30"/>
      <c r="T147" s="30"/>
      <c r="U147" s="30"/>
      <c r="V147" s="30"/>
      <c r="W147" s="30"/>
      <c r="X147" s="30"/>
      <c r="Y147" s="30"/>
      <c r="Z147" s="30"/>
    </row>
    <row r="148" ht="42.75" customHeight="1">
      <c r="A148" s="31" t="str">
        <f>HYPERLINK("https://drive.google.com/file/d/1FcyjboCqdsz-nXUpVJ78G7cx3iYYDkJ1/view?usp=sharing","2007-09")</f>
        <v>2007-09</v>
      </c>
      <c r="B148" s="32" t="str">
        <f>HYPERLINK("https://drive.google.com/file/d/1FcyjboCqdsz-nXUpVJ78G7cx3iYYDkJ1/view?usp=sharing","ANÁLISE DO SETOR AGROINDUSTRIAL DO MUNICÍPIO DE UNA - BAHIA")</f>
        <v>ANÁLISE DO SETOR AGROINDUSTRIAL DO MUNICÍPIO DE UNA - BAHIA</v>
      </c>
      <c r="C148" s="33" t="s">
        <v>47</v>
      </c>
      <c r="D148" s="33" t="s">
        <v>450</v>
      </c>
      <c r="E148" s="33" t="s">
        <v>451</v>
      </c>
      <c r="F148" s="33" t="s">
        <v>452</v>
      </c>
      <c r="G148" s="34">
        <v>39479.0</v>
      </c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30"/>
      <c r="T148" s="30"/>
      <c r="U148" s="30"/>
      <c r="V148" s="30"/>
      <c r="W148" s="30"/>
      <c r="X148" s="30"/>
      <c r="Y148" s="30"/>
      <c r="Z148" s="30"/>
    </row>
    <row r="149" ht="28.5" customHeight="1">
      <c r="A149" s="25" t="str">
        <f>HYPERLINK("https://drive.google.com/file/d/1ZGf0766Z-nGu_L22BHQC7Uxr0Yuokx2f/view?usp=sharing","2007-10")</f>
        <v>2007-10</v>
      </c>
      <c r="B149" s="26" t="str">
        <f>HYPERLINK("https://drive.google.com/file/d/1ZGf0766Z-nGu_L22BHQC7Uxr0Yuokx2f/view?usp=sharing","O COMPORTAMENTO DO CONSUMIDOR DE CERVEJAS EM ILHÉUS, BAHIA")</f>
        <v>O COMPORTAMENTO DO CONSUMIDOR DE CERVEJAS EM ILHÉUS, BAHIA</v>
      </c>
      <c r="C149" s="27" t="s">
        <v>116</v>
      </c>
      <c r="D149" s="27" t="s">
        <v>453</v>
      </c>
      <c r="E149" s="27" t="s">
        <v>454</v>
      </c>
      <c r="F149" s="27" t="s">
        <v>399</v>
      </c>
      <c r="G149" s="28">
        <v>39499.0</v>
      </c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30"/>
      <c r="T149" s="30"/>
      <c r="U149" s="30"/>
      <c r="V149" s="30"/>
      <c r="W149" s="30"/>
      <c r="X149" s="30"/>
      <c r="Y149" s="30"/>
      <c r="Z149" s="30"/>
    </row>
    <row r="150" ht="42.75" customHeight="1">
      <c r="A150" s="31" t="str">
        <f>HYPERLINK("https://drive.google.com/file/d/13WYptySKsJYyG52FZ3FDilFtWxk7kK9q/view?usp=sharing","2007-11")</f>
        <v>2007-11</v>
      </c>
      <c r="B150" s="32" t="str">
        <f>HYPERLINK("https://drive.google.com/file/d/13WYptySKsJYyG52FZ3FDilFtWxk7kK9q/view?usp=sharing","ASPECTOS QUE INFLUENCIAM O NÍVEL DE RENDA DOS RADIALISTAS DE ITABUNA ")</f>
        <v>ASPECTOS QUE INFLUENCIAM O NÍVEL DE RENDA DOS RADIALISTAS DE ITABUNA </v>
      </c>
      <c r="C150" s="33" t="s">
        <v>61</v>
      </c>
      <c r="D150" s="33" t="s">
        <v>455</v>
      </c>
      <c r="E150" s="33" t="s">
        <v>456</v>
      </c>
      <c r="F150" s="33" t="s">
        <v>41</v>
      </c>
      <c r="G150" s="34">
        <v>39594.0</v>
      </c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30"/>
      <c r="T150" s="30"/>
      <c r="U150" s="30"/>
      <c r="V150" s="30"/>
      <c r="W150" s="30"/>
      <c r="X150" s="30"/>
      <c r="Y150" s="30"/>
      <c r="Z150" s="30"/>
    </row>
    <row r="151" ht="38.25" customHeight="1">
      <c r="A151" s="25" t="str">
        <f>HYPERLINK("https://drive.google.com/file/d/1yZU_VUV8StYlTWIS-HEuFjeDKHWfRmjr/view?usp=sharing","2007-12")</f>
        <v>2007-12</v>
      </c>
      <c r="B151" s="26" t="str">
        <f>HYPERLINK("https://drive.google.com/file/d/1yZU_VUV8StYlTWIS-HEuFjeDKHWfRmjr/view?usp=sharing","DISTRIBUIÇÃO DE RENDA E CRESCIMENTO ECONÔMICO NOS ANOS 90, NO ESTADO DA BAHIA")</f>
        <v>DISTRIBUIÇÃO DE RENDA E CRESCIMENTO ECONÔMICO NOS ANOS 90, NO ESTADO DA BAHIA</v>
      </c>
      <c r="C151" s="27" t="s">
        <v>61</v>
      </c>
      <c r="D151" s="27" t="s">
        <v>457</v>
      </c>
      <c r="E151" s="27" t="s">
        <v>458</v>
      </c>
      <c r="F151" s="27" t="s">
        <v>88</v>
      </c>
      <c r="G151" s="28">
        <v>39297.0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30"/>
      <c r="T151" s="30"/>
      <c r="U151" s="30"/>
      <c r="V151" s="30"/>
      <c r="W151" s="30"/>
      <c r="X151" s="30"/>
      <c r="Y151" s="30"/>
      <c r="Z151" s="30"/>
    </row>
    <row r="152" ht="38.25" customHeight="1">
      <c r="A152" s="31" t="str">
        <f>HYPERLINK("https://drive.google.com/file/d/1T7tQp6yFTj72LaYLSgAs3rIJy6gvlI1v/view?usp=sharing","2007-13")</f>
        <v>2007-13</v>
      </c>
      <c r="B152" s="32" t="str">
        <f>HYPERLINK("https://drive.google.com/file/d/1T7tQp6yFTj72LaYLSgAs3rIJy6gvlI1v/view?usp=sharing","COMERCIALIZAÇÃO DE FLORES E FOLHAGENS TROPICAIS NO MUNICÍPIO DE ILHÉUS-BAHIA, 2006 – 2007")</f>
        <v>COMERCIALIZAÇÃO DE FLORES E FOLHAGENS TROPICAIS NO MUNICÍPIO DE ILHÉUS-BAHIA, 2006 – 2007</v>
      </c>
      <c r="C152" s="33" t="s">
        <v>116</v>
      </c>
      <c r="D152" s="33" t="s">
        <v>459</v>
      </c>
      <c r="E152" s="33" t="s">
        <v>460</v>
      </c>
      <c r="F152" s="33" t="s">
        <v>180</v>
      </c>
      <c r="G152" s="34">
        <v>39301.0</v>
      </c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30"/>
      <c r="T152" s="30"/>
      <c r="U152" s="30"/>
      <c r="V152" s="30"/>
      <c r="W152" s="30"/>
      <c r="X152" s="30"/>
      <c r="Y152" s="30"/>
      <c r="Z152" s="30"/>
    </row>
    <row r="153" ht="42.75" customHeight="1">
      <c r="A153" s="25" t="str">
        <f>HYPERLINK("https://drive.google.com/file/d/1Utd9U5HtefMxhcxCPTSZAn8iRuUxtSvz/view?usp=sharing","2007-14")</f>
        <v>2007-14</v>
      </c>
      <c r="B153" s="26" t="str">
        <f>HYPERLINK("https://drive.google.com/file/d/1Utd9U5HtefMxhcxCPTSZAn8iRuUxtSvz/view?usp=sharing","PERFIL SOCIOECONÔMICO DO VENDEDOR AMBULANTE LIGADO À ATIVIDADE TURÍSTICA NAS PRAIAS DA CIDADE DE ILHÉUS, BAHIA")</f>
        <v>PERFIL SOCIOECONÔMICO DO VENDEDOR AMBULANTE LIGADO À ATIVIDADE TURÍSTICA NAS PRAIAS DA CIDADE DE ILHÉUS, BAHIA</v>
      </c>
      <c r="C153" s="27" t="s">
        <v>18</v>
      </c>
      <c r="D153" s="27" t="s">
        <v>461</v>
      </c>
      <c r="E153" s="27" t="s">
        <v>462</v>
      </c>
      <c r="F153" s="27" t="s">
        <v>68</v>
      </c>
      <c r="G153" s="28">
        <v>39436.0</v>
      </c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30"/>
      <c r="T153" s="30"/>
      <c r="U153" s="30"/>
      <c r="V153" s="30"/>
      <c r="W153" s="30"/>
      <c r="X153" s="30"/>
      <c r="Y153" s="30"/>
      <c r="Z153" s="30"/>
    </row>
    <row r="154" ht="42.75" customHeight="1">
      <c r="A154" s="31" t="str">
        <f>HYPERLINK("https://drive.google.com/file/d/1SnXUti8W6vYqoSG7GvHX5JBUEfRzJfAy/view?usp=sharing","2007-15")</f>
        <v>2007-15</v>
      </c>
      <c r="B154" s="32" t="str">
        <f>HYPERLINK("https://drive.google.com/file/d/1SnXUti8W6vYqoSG7GvHX5JBUEfRzJfAy/view?usp=sharing","ANÁLISE DOS FEIRANTES DA PRAÇA VEREADOR JOSÉ ADRY NO MUNICÍPIO DE ITAJUÍPE (BAHIA) ")</f>
        <v>ANÁLISE DOS FEIRANTES DA PRAÇA VEREADOR JOSÉ ADRY NO MUNICÍPIO DE ITAJUÍPE (BAHIA) </v>
      </c>
      <c r="C154" s="33" t="s">
        <v>18</v>
      </c>
      <c r="D154" s="33" t="s">
        <v>463</v>
      </c>
      <c r="E154" s="33" t="s">
        <v>464</v>
      </c>
      <c r="F154" s="33" t="s">
        <v>184</v>
      </c>
      <c r="G154" s="34">
        <v>39315.0</v>
      </c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30"/>
      <c r="T154" s="30"/>
      <c r="U154" s="30"/>
      <c r="V154" s="30"/>
      <c r="W154" s="30"/>
      <c r="X154" s="30"/>
      <c r="Y154" s="30"/>
      <c r="Z154" s="30"/>
    </row>
    <row r="155" ht="63.75" customHeight="1">
      <c r="A155" s="25" t="str">
        <f>HYPERLINK("https://drive.google.com/file/d/1fZvSvaYZJfl1Ha74eiAIkM-EgHCdSIBH/view?usp=sharing","2007-16")</f>
        <v>2007-16</v>
      </c>
      <c r="B155" s="26" t="str">
        <f>HYPERLINK("https://drive.google.com/file/d/1fZvSvaYZJfl1Ha74eiAIkM-EgHCdSIBH/view?usp=sharing","O MEIO AMBIENTE E O DESENVOLVIMENTO SUSTENTÁVEL: UMA ABORDAGEM DESENVOLVIDA A PARTIR DAS TEORIAS DO VALOR-TRABALHO E DO VALOR-UTILIDADE MARGINAL.")</f>
        <v>O MEIO AMBIENTE E O DESENVOLVIMENTO SUSTENTÁVEL: UMA ABORDAGEM DESENVOLVIDA A PARTIR DAS TEORIAS DO VALOR-TRABALHO E DO VALOR-UTILIDADE MARGINAL.</v>
      </c>
      <c r="C155" s="27" t="s">
        <v>43</v>
      </c>
      <c r="D155" s="27" t="s">
        <v>465</v>
      </c>
      <c r="E155" s="27" t="s">
        <v>466</v>
      </c>
      <c r="F155" s="27" t="s">
        <v>201</v>
      </c>
      <c r="G155" s="28">
        <v>39090.0</v>
      </c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30"/>
      <c r="T155" s="30"/>
      <c r="U155" s="30"/>
      <c r="V155" s="30"/>
      <c r="W155" s="30"/>
      <c r="X155" s="30"/>
      <c r="Y155" s="30"/>
      <c r="Z155" s="30"/>
    </row>
    <row r="156" ht="42.75" customHeight="1">
      <c r="A156" s="31" t="str">
        <f>HYPERLINK("https://drive.google.com/file/d/1htb6BoNa07LqsYr5r-0PTcjwyBf8M41C/view?usp=sharing","2007-17")</f>
        <v>2007-17</v>
      </c>
      <c r="B156" s="32" t="str">
        <f>HYPERLINK("https://drive.google.com/file/d/1htb6BoNa07LqsYr5r-0PTcjwyBf8M41C/view?usp=sharing","UMA INVESTIGAÇÃO DAS CAUSAS DO CRESCIMENTO ECONÔMICO CHINÊS NAS ÚLTIMAS TRÊS DÉCADAS")</f>
        <v>UMA INVESTIGAÇÃO DAS CAUSAS DO CRESCIMENTO ECONÔMICO CHINÊS NAS ÚLTIMAS TRÊS DÉCADAS</v>
      </c>
      <c r="C156" s="33" t="s">
        <v>167</v>
      </c>
      <c r="D156" s="33" t="s">
        <v>467</v>
      </c>
      <c r="E156" s="33" t="s">
        <v>468</v>
      </c>
      <c r="F156" s="33" t="s">
        <v>147</v>
      </c>
      <c r="G156" s="34">
        <v>39507.0</v>
      </c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30"/>
      <c r="T156" s="30"/>
      <c r="U156" s="30"/>
      <c r="V156" s="30"/>
      <c r="W156" s="30"/>
      <c r="X156" s="30"/>
      <c r="Y156" s="30"/>
      <c r="Z156" s="30"/>
    </row>
    <row r="157" ht="42.75" customHeight="1">
      <c r="A157" s="25" t="str">
        <f>HYPERLINK("https://drive.google.com/file/d/1-eM_Ejv030nodOnOPpnnGUVSVWgMu0uv/view?usp=sharing","2007-18")</f>
        <v>2007-18</v>
      </c>
      <c r="B157" s="26" t="str">
        <f>HYPERLINK("https://drive.google.com/file/d/1-eM_Ejv030nodOnOPpnnGUVSVWgMu0uv/view?usp=sharing","AS CONTRIBUIÇÕES DO ASSOCIATIVISMO PARA O DESENVOLVIMENTO ECONÔMICO: O CASO BARRA DO CHOÇA - BA")</f>
        <v>AS CONTRIBUIÇÕES DO ASSOCIATIVISMO PARA O DESENVOLVIMENTO ECONÔMICO: O CASO BARRA DO CHOÇA - BA</v>
      </c>
      <c r="C157" s="27" t="s">
        <v>61</v>
      </c>
      <c r="D157" s="27" t="s">
        <v>469</v>
      </c>
      <c r="E157" s="27" t="s">
        <v>470</v>
      </c>
      <c r="F157" s="27" t="s">
        <v>41</v>
      </c>
      <c r="G157" s="28">
        <v>39500.0</v>
      </c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30"/>
      <c r="T157" s="30"/>
      <c r="U157" s="30"/>
      <c r="V157" s="30"/>
      <c r="W157" s="30"/>
      <c r="X157" s="30"/>
      <c r="Y157" s="30"/>
      <c r="Z157" s="30"/>
    </row>
    <row r="158" ht="38.25" customHeight="1">
      <c r="A158" s="31" t="str">
        <f>HYPERLINK("https://drive.google.com/file/d/1vFjqzACRRMhPr8RHWDF1ANq_U_RXjuRO/view?usp=sharing","2007-19")</f>
        <v>2007-19</v>
      </c>
      <c r="B158" s="32" t="str">
        <f>HYPERLINK("https://drive.google.com/file/d/1vFjqzACRRMhPr8RHWDF1ANq_U_RXjuRO/view?usp=sharing","A BUSCA DA ESTABILIZAÇÃO ECONÔMICA: UMA INTERPRETAÇÃO HISTÓRICO-ECONÔMICA DO GOVERNO COLLOR DE MELLO.")</f>
        <v>A BUSCA DA ESTABILIZAÇÃO ECONÔMICA: UMA INTERPRETAÇÃO HISTÓRICO-ECONÔMICA DO GOVERNO COLLOR DE MELLO.</v>
      </c>
      <c r="C158" s="33" t="s">
        <v>52</v>
      </c>
      <c r="D158" s="33" t="s">
        <v>471</v>
      </c>
      <c r="E158" s="33" t="s">
        <v>472</v>
      </c>
      <c r="F158" s="33" t="s">
        <v>473</v>
      </c>
      <c r="G158" s="34">
        <v>39143.0</v>
      </c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30"/>
      <c r="T158" s="30"/>
      <c r="U158" s="30"/>
      <c r="V158" s="30"/>
      <c r="W158" s="30"/>
      <c r="X158" s="30"/>
      <c r="Y158" s="30"/>
      <c r="Z158" s="30"/>
    </row>
    <row r="159" ht="51.0" customHeight="1">
      <c r="A159" s="25" t="str">
        <f>HYPERLINK("https://drive.google.com/file/d/1dqgGaRdDfNcI81AQtMW2YhaVlZd6zIpr/view?usp=sharing","2007-20")</f>
        <v>2007-20</v>
      </c>
      <c r="B159" s="26" t="str">
        <f>HYPERLINK("https://drive.google.com/file/d/1dqgGaRdDfNcI81AQtMW2YhaVlZd6zIpr/view?usp=sharing","ANÁLISE DA IMPORTÂNCIA DA AUDITORIA FISCAL E DO PLANEJAMENTO MUNICIPAL NA ARRECADAÇÃO DO ISS NO MUNICÍPIO DE ILHÉUS, BAHIA, 1998 A 2006.")</f>
        <v>ANÁLISE DA IMPORTÂNCIA DA AUDITORIA FISCAL E DO PLANEJAMENTO MUNICIPAL NA ARRECADAÇÃO DO ISS NO MUNICÍPIO DE ILHÉUS, BAHIA, 1998 A 2006.</v>
      </c>
      <c r="C159" s="27" t="s">
        <v>23</v>
      </c>
      <c r="D159" s="27" t="s">
        <v>474</v>
      </c>
      <c r="E159" s="27" t="s">
        <v>475</v>
      </c>
      <c r="F159" s="27" t="s">
        <v>476</v>
      </c>
      <c r="G159" s="28">
        <v>39153.0</v>
      </c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30"/>
      <c r="T159" s="30"/>
      <c r="U159" s="30"/>
      <c r="V159" s="30"/>
      <c r="W159" s="30"/>
      <c r="X159" s="30"/>
      <c r="Y159" s="30"/>
      <c r="Z159" s="30"/>
    </row>
    <row r="160" ht="38.25" customHeight="1">
      <c r="A160" s="31" t="str">
        <f>HYPERLINK("https://drive.google.com/file/d/1UN08D-pGde_0xs-qzoryYMWC_6NCvXG_/view?usp=sharing","2007-21")</f>
        <v>2007-21</v>
      </c>
      <c r="B160" s="32" t="str">
        <f>HYPERLINK("https://drive.google.com/file/d/1UN08D-pGde_0xs-qzoryYMWC_6NCvXG_/view?usp=sharing","IMPACTO DO NÍVEL DE GASTO SOCIAL DO GOVERNO FEDERAL NO PRODUTO INTERNO BRUTO DURANTE O PERÍODO DE 1995 À 2004.")</f>
        <v>IMPACTO DO NÍVEL DE GASTO SOCIAL DO GOVERNO FEDERAL NO PRODUTO INTERNO BRUTO DURANTE O PERÍODO DE 1995 À 2004.</v>
      </c>
      <c r="C160" s="33" t="s">
        <v>137</v>
      </c>
      <c r="D160" s="33" t="s">
        <v>477</v>
      </c>
      <c r="E160" s="33" t="s">
        <v>478</v>
      </c>
      <c r="F160" s="33" t="s">
        <v>88</v>
      </c>
      <c r="G160" s="34">
        <v>39416.0</v>
      </c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30"/>
      <c r="T160" s="30"/>
      <c r="U160" s="30"/>
      <c r="V160" s="30"/>
      <c r="W160" s="30"/>
      <c r="X160" s="30"/>
      <c r="Y160" s="30"/>
      <c r="Z160" s="30"/>
    </row>
    <row r="161" ht="51.0" customHeight="1">
      <c r="A161" s="25" t="str">
        <f>HYPERLINK("https://drive.google.com/file/d/1BN-zvXs85R1Blyondyq68-lMDXVhjsqy/view?usp=sharing","2007-22")</f>
        <v>2007-22</v>
      </c>
      <c r="B161" s="26" t="str">
        <f>HYPERLINK("https://drive.google.com/file/d/1BN-zvXs85R1Blyondyq68-lMDXVhjsqy/view?usp=sharing","SERVIÇOS DE AUTO-ATENDIMENTO: ANÁLISE DO GRAU DE SATISFAÇÃO DOS CLIENTES DO BANCO DO BRASIL, AGÊNCIAS CENTRO, ITABUNA – BAHIA")</f>
        <v>SERVIÇOS DE AUTO-ATENDIMENTO: ANÁLISE DO GRAU DE SATISFAÇÃO DOS CLIENTES DO BANCO DO BRASIL, AGÊNCIAS CENTRO, ITABUNA – BAHIA</v>
      </c>
      <c r="C161" s="27" t="s">
        <v>111</v>
      </c>
      <c r="D161" s="27" t="s">
        <v>479</v>
      </c>
      <c r="E161" s="27" t="s">
        <v>480</v>
      </c>
      <c r="F161" s="27" t="s">
        <v>31</v>
      </c>
      <c r="G161" s="28">
        <v>39170.0</v>
      </c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30"/>
      <c r="T161" s="30"/>
      <c r="U161" s="30"/>
      <c r="V161" s="30"/>
      <c r="W161" s="30"/>
      <c r="X161" s="30"/>
      <c r="Y161" s="30"/>
      <c r="Z161" s="30"/>
    </row>
    <row r="162" ht="42.75" customHeight="1">
      <c r="A162" s="31" t="str">
        <f>HYPERLINK("https://drive.google.com/file/d/1lC4UdxEoJDv5jnugP7RsG42c103Bh4Xs/view?usp=sharing","2007-23")</f>
        <v>2007-23</v>
      </c>
      <c r="B162" s="32" t="str">
        <f>HYPERLINK("https://drive.google.com/file/d/1lC4UdxEoJDv5jnugP7RsG42c103Bh4Xs/view?usp=sharing","ANÁLISE DO DESENVOLVIMENTO ECONÔMICO DA BAHIA, NO PERÍODO DE 1990 A 2005")</f>
        <v>ANÁLISE DO DESENVOLVIMENTO ECONÔMICO DA BAHIA, NO PERÍODO DE 1990 A 2005</v>
      </c>
      <c r="C162" s="33" t="s">
        <v>167</v>
      </c>
      <c r="D162" s="33" t="s">
        <v>481</v>
      </c>
      <c r="E162" s="33" t="s">
        <v>482</v>
      </c>
      <c r="F162" s="33" t="s">
        <v>326</v>
      </c>
      <c r="G162" s="34">
        <v>39321.0</v>
      </c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30"/>
      <c r="T162" s="30"/>
      <c r="U162" s="30"/>
      <c r="V162" s="30"/>
      <c r="W162" s="30"/>
      <c r="X162" s="30"/>
      <c r="Y162" s="30"/>
      <c r="Z162" s="30"/>
    </row>
    <row r="163" ht="38.25" customHeight="1">
      <c r="A163" s="25" t="str">
        <f>HYPERLINK("https://drive.google.com/file/d/1iabHRSq1t2dtvXqNe1TNC51gW3FFYGx0/view?usp=sharing","2007-24")</f>
        <v>2007-24</v>
      </c>
      <c r="B163" s="26" t="str">
        <f>HYPERLINK("https://drive.google.com/file/d/1iabHRSq1t2dtvXqNe1TNC51gW3FFYGx0/view?usp=sharing","PERFIL SOCIOECONÔMICO DOS TRABALHADORES DO COMÉRCIO INFORMAL DO MUNICÍPIO DE IBICARAÍ")</f>
        <v>PERFIL SOCIOECONÔMICO DOS TRABALHADORES DO COMÉRCIO INFORMAL DO MUNICÍPIO DE IBICARAÍ</v>
      </c>
      <c r="C163" s="27" t="s">
        <v>18</v>
      </c>
      <c r="D163" s="27" t="s">
        <v>483</v>
      </c>
      <c r="E163" s="27" t="s">
        <v>484</v>
      </c>
      <c r="F163" s="27" t="s">
        <v>184</v>
      </c>
      <c r="G163" s="28">
        <v>39468.0</v>
      </c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30"/>
      <c r="T163" s="30"/>
      <c r="U163" s="30"/>
      <c r="V163" s="30"/>
      <c r="W163" s="30"/>
      <c r="X163" s="30"/>
      <c r="Y163" s="30"/>
      <c r="Z163" s="30"/>
    </row>
    <row r="164" ht="51.0" customHeight="1">
      <c r="A164" s="31" t="str">
        <f>HYPERLINK("https://drive.google.com/file/d/1UlX1Ou1omc4TJDsRfsLnaZCdS7UN9RIA/view?usp=sharing","2007-25")</f>
        <v>2007-25</v>
      </c>
      <c r="B164" s="32" t="str">
        <f>HYPERLINK("https://drive.google.com/file/d/1UlX1Ou1omc4TJDsRfsLnaZCdS7UN9RIA/view?usp=sharing","TERCEIRIZAÇÃO DAS ATIVIDADES BANCÁRIAS: GRAU DE SATISFAÇÃO DOS USUÁRIOS DA LOTÉRICA QUINA DE OURO NO BAIRRO SÃO CAETANO EM ITABUNA - BAHIA")</f>
        <v>TERCEIRIZAÇÃO DAS ATIVIDADES BANCÁRIAS: GRAU DE SATISFAÇÃO DOS USUÁRIOS DA LOTÉRICA QUINA DE OURO NO BAIRRO SÃO CAETANO EM ITABUNA - BAHIA</v>
      </c>
      <c r="C164" s="33" t="s">
        <v>111</v>
      </c>
      <c r="D164" s="33" t="s">
        <v>485</v>
      </c>
      <c r="E164" s="33" t="s">
        <v>486</v>
      </c>
      <c r="F164" s="33" t="s">
        <v>399</v>
      </c>
      <c r="G164" s="34">
        <v>39489.0</v>
      </c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30"/>
      <c r="T164" s="30"/>
      <c r="U164" s="30"/>
      <c r="V164" s="30"/>
      <c r="W164" s="30"/>
      <c r="X164" s="30"/>
      <c r="Y164" s="30"/>
      <c r="Z164" s="30"/>
    </row>
    <row r="165" ht="63.75" customHeight="1">
      <c r="A165" s="25" t="str">
        <f>HYPERLINK("https://drive.google.com/file/d/1q5xMxbdTEieOCIUl1coBgIDWRT3Zv-rs/view?usp=sharing","2007-26")</f>
        <v>2007-26</v>
      </c>
      <c r="B165" s="26" t="str">
        <f>HYPERLINK("https://drive.google.com/file/d/1q5xMxbdTEieOCIUl1coBgIDWRT3Zv-rs/view?usp=sharing","IMPACTO DA VERACEL NA GERAÇÃO DE EMPREGO DIRETO, DURANTE O PERÍODO DE CONSTRUÇÃO E FUNCIONAMENTO DE SUA FÁBRICA PARA MUNICÍPIO DE EUNÁPOLIS – BAHIA (2003 – 2006)")</f>
        <v>IMPACTO DA VERACEL NA GERAÇÃO DE EMPREGO DIRETO, DURANTE O PERÍODO DE CONSTRUÇÃO E FUNCIONAMENTO DE SUA FÁBRICA PARA MUNICÍPIO DE EUNÁPOLIS – BAHIA (2003 – 2006)</v>
      </c>
      <c r="C165" s="27" t="s">
        <v>47</v>
      </c>
      <c r="D165" s="27" t="s">
        <v>487</v>
      </c>
      <c r="E165" s="27" t="s">
        <v>488</v>
      </c>
      <c r="F165" s="27" t="s">
        <v>26</v>
      </c>
      <c r="G165" s="28">
        <v>39095.0</v>
      </c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30"/>
      <c r="T165" s="30"/>
      <c r="U165" s="30"/>
      <c r="V165" s="30"/>
      <c r="W165" s="30"/>
      <c r="X165" s="30"/>
      <c r="Y165" s="30"/>
      <c r="Z165" s="30"/>
    </row>
    <row r="166" ht="57.0" customHeight="1">
      <c r="A166" s="31" t="str">
        <f>HYPERLINK("https://drive.google.com/file/d/1BmUL0Awv80BWL-UvM1DC7C-yWvuLi7dp/view?usp=sharing","2007-27")</f>
        <v>2007-27</v>
      </c>
      <c r="B166" s="32" t="str">
        <f>HYPERLINK("https://drive.google.com/file/d/1BmUL0Awv80BWL-UvM1DC7C-yWvuLi7dp/view?usp=sharing","DETERMINANTES DA DEMANDA DE HORTALIÇAS ORGÂNICAS EM ILHÉUS, BAHIA")</f>
        <v>DETERMINANTES DA DEMANDA DE HORTALIÇAS ORGÂNICAS EM ILHÉUS, BAHIA</v>
      </c>
      <c r="C166" s="33" t="s">
        <v>47</v>
      </c>
      <c r="D166" s="33" t="s">
        <v>489</v>
      </c>
      <c r="E166" s="33" t="s">
        <v>490</v>
      </c>
      <c r="F166" s="33" t="s">
        <v>447</v>
      </c>
      <c r="G166" s="34">
        <v>39428.0</v>
      </c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30"/>
      <c r="T166" s="30"/>
      <c r="U166" s="30"/>
      <c r="V166" s="30"/>
      <c r="W166" s="30"/>
      <c r="X166" s="30"/>
      <c r="Y166" s="30"/>
      <c r="Z166" s="30"/>
    </row>
    <row r="167" ht="38.25" customHeight="1">
      <c r="A167" s="25" t="str">
        <f>HYPERLINK("https://drive.google.com/file/d/1-dVwIWfvM1vJi13ePwCxQ4Vf1RjFZqAM/view?usp=sharing","2007-28")</f>
        <v>2007-28</v>
      </c>
      <c r="B167" s="26" t="str">
        <f>HYPERLINK("https://drive.google.com/file/d/1-dVwIWfvM1vJi13ePwCxQ4Vf1RjFZqAM/view?usp=sharing","UM OLHAR NA REFORMA AGRÁRIA: O CASO DA EXPERIÊNCIA DO ASSENTAMENTO TERRA VISTA, EM ARATACA - BAHIA.")</f>
        <v>UM OLHAR NA REFORMA AGRÁRIA: O CASO DA EXPERIÊNCIA DO ASSENTAMENTO TERRA VISTA, EM ARATACA - BAHIA.</v>
      </c>
      <c r="C167" s="27" t="s">
        <v>47</v>
      </c>
      <c r="D167" s="27" t="s">
        <v>491</v>
      </c>
      <c r="E167" s="27" t="s">
        <v>492</v>
      </c>
      <c r="F167" s="27" t="s">
        <v>473</v>
      </c>
      <c r="G167" s="28">
        <v>39416.0</v>
      </c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30"/>
      <c r="T167" s="30"/>
      <c r="U167" s="30"/>
      <c r="V167" s="30"/>
      <c r="W167" s="30"/>
      <c r="X167" s="30"/>
      <c r="Y167" s="30"/>
      <c r="Z167" s="30"/>
    </row>
    <row r="168" ht="28.5" customHeight="1">
      <c r="A168" s="31" t="str">
        <f>HYPERLINK("https://drive.google.com/file/d/1gaNAbm1dzgie2wT9FtRiPwFzBoqnCoZJ/view?usp=sharing","2007-29")</f>
        <v>2007-29</v>
      </c>
      <c r="B168" s="32" t="str">
        <f>HYPERLINK("https://drive.google.com/file/d/1gaNAbm1dzgie2wT9FtRiPwFzBoqnCoZJ/view?usp=sharing","ICB E CEPLAC: AS INTERVENÇÕES EFETIVAS DO ESTADO NA ECONOMIA CACAUEIRA BAIANA")</f>
        <v>ICB E CEPLAC: AS INTERVENÇÕES EFETIVAS DO ESTADO NA ECONOMIA CACAUEIRA BAIANA</v>
      </c>
      <c r="C168" s="33" t="s">
        <v>195</v>
      </c>
      <c r="D168" s="33" t="s">
        <v>493</v>
      </c>
      <c r="E168" s="33" t="s">
        <v>494</v>
      </c>
      <c r="F168" s="33" t="s">
        <v>162</v>
      </c>
      <c r="G168" s="34">
        <v>39101.0</v>
      </c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30"/>
      <c r="T168" s="30"/>
      <c r="U168" s="30"/>
      <c r="V168" s="30"/>
      <c r="W168" s="30"/>
      <c r="X168" s="30"/>
      <c r="Y168" s="30"/>
      <c r="Z168" s="30"/>
    </row>
    <row r="169" ht="51.0" customHeight="1">
      <c r="A169" s="25" t="str">
        <f>HYPERLINK("https://drive.google.com/file/d/1KL3aqifuaxT0FzdGQM35Lp0s4qWbPrs1/view?usp=sharing","2007-30")</f>
        <v>2007-30</v>
      </c>
      <c r="B169" s="26" t="str">
        <f>HYPERLINK("https://drive.google.com/file/d/1KL3aqifuaxT0FzdGQM35Lp0s4qWbPrs1/view?usp=sharing","UM ESTUDO DO PERFIL SÓCIO-ECONÔMICO DOS TRABALHADORES DO COMÉRCIO INFORMAL DA PRAÇA JOSÉ BASTOS, NA CIDADE DE ITABUNA – BAHIA, EM 2006.")</f>
        <v>UM ESTUDO DO PERFIL SÓCIO-ECONÔMICO DOS TRABALHADORES DO COMÉRCIO INFORMAL DA PRAÇA JOSÉ BASTOS, NA CIDADE DE ITABUNA – BAHIA, EM 2006.</v>
      </c>
      <c r="C169" s="27" t="s">
        <v>18</v>
      </c>
      <c r="D169" s="27" t="s">
        <v>495</v>
      </c>
      <c r="E169" s="27" t="s">
        <v>496</v>
      </c>
      <c r="F169" s="27" t="s">
        <v>26</v>
      </c>
      <c r="G169" s="28">
        <v>39146.0</v>
      </c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30"/>
      <c r="T169" s="30"/>
      <c r="U169" s="30"/>
      <c r="V169" s="30"/>
      <c r="W169" s="30"/>
      <c r="X169" s="30"/>
      <c r="Y169" s="30"/>
      <c r="Z169" s="30"/>
    </row>
    <row r="170" ht="38.25" customHeight="1">
      <c r="A170" s="31" t="str">
        <f>HYPERLINK("https://drive.google.com/file/d/1hswC5Jo2P9-XaYNonu0huv5pb8VsLPBb/view?usp=sharing","2007-31")</f>
        <v>2007-31</v>
      </c>
      <c r="B170" s="32" t="str">
        <f>HYPERLINK("https://drive.google.com/file/d/1hswC5Jo2P9-XaYNonu0huv5pb8VsLPBb/view?usp=sharing","ANÁLISE DO DESEMPENHO DA INDÚSTRIA DE TRANSFORMAÇÃO BRASILEIRA NA DÉCADA DE 1990 ")</f>
        <v>ANÁLISE DO DESEMPENHO DA INDÚSTRIA DE TRANSFORMAÇÃO BRASILEIRA NA DÉCADA DE 1990 </v>
      </c>
      <c r="C170" s="33" t="s">
        <v>301</v>
      </c>
      <c r="D170" s="33" t="s">
        <v>497</v>
      </c>
      <c r="E170" s="33" t="s">
        <v>498</v>
      </c>
      <c r="F170" s="33" t="s">
        <v>399</v>
      </c>
      <c r="G170" s="34">
        <v>39113.0</v>
      </c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30"/>
      <c r="T170" s="30"/>
      <c r="U170" s="30"/>
      <c r="V170" s="30"/>
      <c r="W170" s="30"/>
      <c r="X170" s="30"/>
      <c r="Y170" s="30"/>
      <c r="Z170" s="30"/>
    </row>
    <row r="171" ht="42.75" customHeight="1">
      <c r="A171" s="25" t="str">
        <f>HYPERLINK("https://drive.google.com/file/d/1weIxNklC1KtMxFYTB72c6X0sF7_XrQX3/view?usp=sharing","2007-32")</f>
        <v>2007-32</v>
      </c>
      <c r="B171" s="26" t="str">
        <f>HYPERLINK("https://drive.google.com/file/d/1weIxNklC1KtMxFYTB72c6X0sF7_XrQX3/view?usp=sharing","O PROCESSO DE REESTRUTURAÇÃO DO SISTEMA BANCÁRIO NACIONAL A PARTIR DA IMPLANTAÇÃO DO PLANO REAL: 1994 – 2002")</f>
        <v>O PROCESSO DE REESTRUTURAÇÃO DO SISTEMA BANCÁRIO NACIONAL A PARTIR DA IMPLANTAÇÃO DO PLANO REAL: 1994 – 2002</v>
      </c>
      <c r="C171" s="27" t="s">
        <v>13</v>
      </c>
      <c r="D171" s="27" t="s">
        <v>499</v>
      </c>
      <c r="E171" s="27" t="s">
        <v>500</v>
      </c>
      <c r="F171" s="27" t="s">
        <v>88</v>
      </c>
      <c r="G171" s="28">
        <v>39122.0</v>
      </c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30"/>
      <c r="T171" s="30"/>
      <c r="U171" s="30"/>
      <c r="V171" s="30"/>
      <c r="W171" s="30"/>
      <c r="X171" s="30"/>
      <c r="Y171" s="30"/>
      <c r="Z171" s="30"/>
    </row>
    <row r="172" ht="51.0" customHeight="1">
      <c r="A172" s="31" t="str">
        <f>HYPERLINK("https://drive.google.com/file/d/1UUK2TYok3hnRCvHj2vafy4Nz3-Pco61R/view?usp=sharing","2007-33")</f>
        <v>2007-33</v>
      </c>
      <c r="B172" s="32" t="str">
        <f>HYPERLINK("https://drive.google.com/file/d/1UUK2TYok3hnRCvHj2vafy4Nz3-Pco61R/view?usp=sharing","PROGRAMAÇÃO PACTUADA INTEGRADA DE MÉDIA COMPLEXIDADE (PPI): UMA ANÁLISE COMPARATIVA ENTRE OS ANOS DE 2003 E 2006. MUNICÍPIO DE ITABUNA - BAHIA")</f>
        <v>PROGRAMAÇÃO PACTUADA INTEGRADA DE MÉDIA COMPLEXIDADE (PPI): UMA ANÁLISE COMPARATIVA ENTRE OS ANOS DE 2003 E 2006. MUNICÍPIO DE ITABUNA - BAHIA</v>
      </c>
      <c r="C172" s="33" t="s">
        <v>23</v>
      </c>
      <c r="D172" s="33" t="s">
        <v>501</v>
      </c>
      <c r="E172" s="33" t="s">
        <v>502</v>
      </c>
      <c r="F172" s="33" t="s">
        <v>184</v>
      </c>
      <c r="G172" s="34">
        <v>39277.0</v>
      </c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30"/>
      <c r="T172" s="30"/>
      <c r="U172" s="30"/>
      <c r="V172" s="30"/>
      <c r="W172" s="30"/>
      <c r="X172" s="30"/>
      <c r="Y172" s="30"/>
      <c r="Z172" s="30"/>
    </row>
    <row r="173" ht="51.0" customHeight="1">
      <c r="A173" s="25" t="str">
        <f>HYPERLINK("https://drive.google.com/file/d/1J_rORnuuaDBMvJ9DIpksc2D2cOIWu-sH/view?usp=sharing","2007-34")</f>
        <v>2007-34</v>
      </c>
      <c r="B173" s="26" t="str">
        <f>HYPERLINK("https://drive.google.com/file/d/1J_rORnuuaDBMvJ9DIpksc2D2cOIWu-sH/view?usp=sharing","A INFLUÊNCIA DOS CARTÕES DE CRÉDITO E DÉBITO NOS RENDIMENTOS DE UM ESTABELECIMENTO COMERCIAL NO MUNICÍPIO DE ILHÉUS-BAHIA")</f>
        <v>A INFLUÊNCIA DOS CARTÕES DE CRÉDITO E DÉBITO NOS RENDIMENTOS DE UM ESTABELECIMENTO COMERCIAL NO MUNICÍPIO DE ILHÉUS-BAHIA</v>
      </c>
      <c r="C173" s="27" t="s">
        <v>13</v>
      </c>
      <c r="D173" s="27" t="s">
        <v>503</v>
      </c>
      <c r="E173" s="27" t="s">
        <v>504</v>
      </c>
      <c r="F173" s="27" t="s">
        <v>505</v>
      </c>
      <c r="G173" s="28">
        <v>39126.0</v>
      </c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30"/>
      <c r="T173" s="30"/>
      <c r="U173" s="30"/>
      <c r="V173" s="30"/>
      <c r="W173" s="30"/>
      <c r="X173" s="30"/>
      <c r="Y173" s="30"/>
      <c r="Z173" s="30"/>
    </row>
    <row r="174" ht="42.75" customHeight="1">
      <c r="A174" s="31" t="str">
        <f>HYPERLINK("https://drive.google.com/file/d/13C0Vum8GdIspyAZhp3RPEJ7ZIppPiNCp/view?usp=sharing","2007-35")</f>
        <v>2007-35</v>
      </c>
      <c r="B174" s="32" t="str">
        <f>HYPERLINK("https://drive.google.com/file/d/13C0Vum8GdIspyAZhp3RPEJ7ZIppPiNCp/view?usp=sharing","O CRÉDITO CONSIGNADO E SUA INFLUÊNCIA NO CONSUMO BRASILEIRO NO PERÍODO ENTRE 2001 E 2006")</f>
        <v>O CRÉDITO CONSIGNADO E SUA INFLUÊNCIA NO CONSUMO BRASILEIRO NO PERÍODO ENTRE 2001 E 2006</v>
      </c>
      <c r="C174" s="33" t="s">
        <v>13</v>
      </c>
      <c r="D174" s="33" t="s">
        <v>506</v>
      </c>
      <c r="E174" s="33" t="s">
        <v>507</v>
      </c>
      <c r="F174" s="33" t="s">
        <v>88</v>
      </c>
      <c r="G174" s="34">
        <v>39294.0</v>
      </c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30"/>
      <c r="T174" s="30"/>
      <c r="U174" s="30"/>
      <c r="V174" s="30"/>
      <c r="W174" s="30"/>
      <c r="X174" s="30"/>
      <c r="Y174" s="30"/>
      <c r="Z174" s="30"/>
    </row>
    <row r="175" ht="51.0" customHeight="1">
      <c r="A175" s="25" t="str">
        <f>HYPERLINK("https://drive.google.com/file/d/1GRcoMMtabNKvf3D71R8_NaV2aOMROC22/view?usp=sharing","2007-36")</f>
        <v>2007-36</v>
      </c>
      <c r="B175" s="26" t="str">
        <f>HYPERLINK("https://drive.google.com/file/d/1GRcoMMtabNKvf3D71R8_NaV2aOMROC22/view?usp=sharing","POSSIBILIDADES DE TRANSFORMAÇÃO DA COLÔNIA DE PESCADORES Z-34 DE ILHÉUS EM COOPERATIVA: ANÁLISE DOS ASPECTOS SÓCIO-ECONÔMICOS")</f>
        <v>POSSIBILIDADES DE TRANSFORMAÇÃO DA COLÔNIA DE PESCADORES Z-34 DE ILHÉUS EM COOPERATIVA: ANÁLISE DOS ASPECTOS SÓCIO-ECONÔMICOS</v>
      </c>
      <c r="C175" s="27" t="s">
        <v>276</v>
      </c>
      <c r="D175" s="27" t="s">
        <v>508</v>
      </c>
      <c r="E175" s="27" t="s">
        <v>509</v>
      </c>
      <c r="F175" s="27" t="s">
        <v>510</v>
      </c>
      <c r="G175" s="28">
        <v>39416.0</v>
      </c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30"/>
      <c r="T175" s="30"/>
      <c r="U175" s="30"/>
      <c r="V175" s="30"/>
      <c r="W175" s="30"/>
      <c r="X175" s="30"/>
      <c r="Y175" s="30"/>
      <c r="Z175" s="30"/>
    </row>
    <row r="176" ht="42.75" customHeight="1">
      <c r="A176" s="31" t="str">
        <f>HYPERLINK("https://drive.google.com/file/d/1gKsm_TFlHrTI8tBtxPhLAalA8WzeSZyR/view?usp=sharing","2007-37")</f>
        <v>2007-37</v>
      </c>
      <c r="B176" s="32" t="str">
        <f>HYPERLINK("https://drive.google.com/file/d/1gKsm_TFlHrTI8tBtxPhLAalA8WzeSZyR/view?usp=sharing","O IMPACTO DO FUNDO DE PARTICIPAÇÃO DOS MUNICÍPIOS NAS FINANÇAS PÚBLICAS DE ITAJUÍPE (BAHIA) 2000 - 2006")</f>
        <v>O IMPACTO DO FUNDO DE PARTICIPAÇÃO DOS MUNICÍPIOS NAS FINANÇAS PÚBLICAS DE ITAJUÍPE (BAHIA) 2000 - 2006</v>
      </c>
      <c r="C176" s="33" t="s">
        <v>23</v>
      </c>
      <c r="D176" s="33" t="s">
        <v>511</v>
      </c>
      <c r="E176" s="33" t="s">
        <v>512</v>
      </c>
      <c r="F176" s="33" t="s">
        <v>147</v>
      </c>
      <c r="G176" s="34">
        <v>39325.0</v>
      </c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30"/>
      <c r="T176" s="30"/>
      <c r="U176" s="30"/>
      <c r="V176" s="30"/>
      <c r="W176" s="30"/>
      <c r="X176" s="30"/>
      <c r="Y176" s="30"/>
      <c r="Z176" s="30"/>
    </row>
    <row r="177" ht="38.25" customHeight="1">
      <c r="A177" s="25" t="str">
        <f>HYPERLINK("https://drive.google.com/file/d/1LeY6Nykx9O7QgGAn9YkY0m0ayS2EshNp/view?usp=sharing","2007-38")</f>
        <v>2007-38</v>
      </c>
      <c r="B177" s="26" t="str">
        <f>HYPERLINK("https://drive.google.com/file/d/1LeY6Nykx9O7QgGAn9YkY0m0ayS2EshNp/view?usp=sharing","ANÁLISE DO PERFIL DO DESEMPREGADO DA REGIÃO METROPOLITANA DE SALVADOR – BAHIA DE 2000 A 2005")</f>
        <v>ANÁLISE DO PERFIL DO DESEMPREGADO DA REGIÃO METROPOLITANA DE SALVADOR – BAHIA DE 2000 A 2005</v>
      </c>
      <c r="C177" s="27" t="s">
        <v>18</v>
      </c>
      <c r="D177" s="27" t="s">
        <v>513</v>
      </c>
      <c r="E177" s="27" t="s">
        <v>514</v>
      </c>
      <c r="F177" s="27" t="s">
        <v>399</v>
      </c>
      <c r="G177" s="28">
        <v>39489.0</v>
      </c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30"/>
      <c r="T177" s="30"/>
      <c r="U177" s="30"/>
      <c r="V177" s="30"/>
      <c r="W177" s="30"/>
      <c r="X177" s="30"/>
      <c r="Y177" s="30"/>
      <c r="Z177" s="30"/>
    </row>
    <row r="178" ht="51.0" customHeight="1">
      <c r="A178" s="31" t="str">
        <f>HYPERLINK("https://drive.google.com/file/d/13FROhHHllm533EtjUYTrp12gA30FvoUO/view?usp=sharing","2007-39")</f>
        <v>2007-39</v>
      </c>
      <c r="B178" s="32" t="str">
        <f>HYPERLINK("https://drive.google.com/file/d/13FROhHHllm533EtjUYTrp12gA30FvoUO/view?usp=sharing","VIABILIDADE ECONÔMICA DA PRODUÇÃO DO ÓLEO DE DENDÊ COMO MATÉRIA-PRIMA PARA A PRODUÇÃO DE BIOCOMBUSTÍVEL NO BAIXO SUL DA BAHIA")</f>
        <v>VIABILIDADE ECONÔMICA DA PRODUÇÃO DO ÓLEO DE DENDÊ COMO MATÉRIA-PRIMA PARA A PRODUÇÃO DE BIOCOMBUSTÍVEL NO BAIXO SUL DA BAHIA</v>
      </c>
      <c r="C178" s="33" t="s">
        <v>47</v>
      </c>
      <c r="D178" s="33" t="s">
        <v>515</v>
      </c>
      <c r="E178" s="33" t="s">
        <v>516</v>
      </c>
      <c r="F178" s="33" t="s">
        <v>205</v>
      </c>
      <c r="G178" s="34">
        <v>39146.0</v>
      </c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30"/>
      <c r="T178" s="30"/>
      <c r="U178" s="30"/>
      <c r="V178" s="30"/>
      <c r="W178" s="30"/>
      <c r="X178" s="30"/>
      <c r="Y178" s="30"/>
      <c r="Z178" s="30"/>
    </row>
    <row r="179" ht="42.75" customHeight="1">
      <c r="A179" s="25" t="str">
        <f>HYPERLINK("https://drive.google.com/file/d/1QGTUG5Zl50Qd3iibyYH-HVKT-hDdZA-b/view?usp=sharing","2007-40")</f>
        <v>2007-40</v>
      </c>
      <c r="B179" s="26" t="str">
        <f>HYPERLINK("https://drive.google.com/file/d/1QGTUG5Zl50Qd3iibyYH-HVKT-hDdZA-b/view?usp=sharing","ANÁLISE DA OFERTA TURÍSTICA PARA O DESENVOLVIMENTO DO TURISMO DE SERRA GRANDE – URUÇUCA, BAHIA (2007)")</f>
        <v>ANÁLISE DA OFERTA TURÍSTICA PARA O DESENVOLVIMENTO DO TURISMO DE SERRA GRANDE – URUÇUCA, BAHIA (2007)</v>
      </c>
      <c r="C179" s="27" t="s">
        <v>33</v>
      </c>
      <c r="D179" s="27" t="s">
        <v>517</v>
      </c>
      <c r="E179" s="27" t="s">
        <v>518</v>
      </c>
      <c r="F179" s="27" t="s">
        <v>68</v>
      </c>
      <c r="G179" s="28">
        <v>39308.0</v>
      </c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30"/>
      <c r="T179" s="30"/>
      <c r="U179" s="30"/>
      <c r="V179" s="30"/>
      <c r="W179" s="30"/>
      <c r="X179" s="30"/>
      <c r="Y179" s="30"/>
      <c r="Z179" s="30"/>
    </row>
    <row r="180" ht="38.25" customHeight="1">
      <c r="A180" s="31" t="str">
        <f>HYPERLINK("https://drive.google.com/file/d/1Nk9hgFqPHmKTykfjOPg3y-W1YJK0dhrt/view?usp=sharing","2007-41")</f>
        <v>2007-41</v>
      </c>
      <c r="B180" s="32" t="str">
        <f>HYPERLINK("https://drive.google.com/file/d/1Nk9hgFqPHmKTykfjOPg3y-W1YJK0dhrt/view?usp=sharing","DESVENDANDO A HISTÓRIA ECONÔMICA CONTEMPORÂNEA: A EXPERIÊNCIA BRASILEIRA DOS ANOS 80")</f>
        <v>DESVENDANDO A HISTÓRIA ECONÔMICA CONTEMPORÂNEA: A EXPERIÊNCIA BRASILEIRA DOS ANOS 80</v>
      </c>
      <c r="C180" s="33" t="s">
        <v>52</v>
      </c>
      <c r="D180" s="33" t="s">
        <v>519</v>
      </c>
      <c r="E180" s="33" t="s">
        <v>520</v>
      </c>
      <c r="F180" s="33" t="s">
        <v>473</v>
      </c>
      <c r="G180" s="34">
        <v>39416.0</v>
      </c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30"/>
      <c r="T180" s="30"/>
      <c r="U180" s="30"/>
      <c r="V180" s="30"/>
      <c r="W180" s="30"/>
      <c r="X180" s="30"/>
      <c r="Y180" s="30"/>
      <c r="Z180" s="30"/>
    </row>
    <row r="181" ht="42.75" customHeight="1">
      <c r="A181" s="25" t="str">
        <f>HYPERLINK("https://drive.google.com/file/d/1XiF9HcxpLVjZ7strI5cARGEw0UbSU7MO/view?usp=sharing","2007-42")</f>
        <v>2007-42</v>
      </c>
      <c r="B181" s="26" t="str">
        <f>HYPERLINK("https://drive.google.com/file/d/1XiF9HcxpLVjZ7strI5cARGEw0UbSU7MO/view?usp=sharing","ANÁLISE ECONÔMICA DA PRODUÇÃO DE MARACUJÁ NO ESTADO DA BAHIA, 1990 A 2005")</f>
        <v>ANÁLISE ECONÔMICA DA PRODUÇÃO DE MARACUJÁ NO ESTADO DA BAHIA, 1990 A 2005</v>
      </c>
      <c r="C181" s="27" t="s">
        <v>386</v>
      </c>
      <c r="D181" s="27" t="s">
        <v>521</v>
      </c>
      <c r="E181" s="27" t="s">
        <v>522</v>
      </c>
      <c r="F181" s="27" t="s">
        <v>73</v>
      </c>
      <c r="G181" s="28">
        <v>39281.0</v>
      </c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30"/>
      <c r="T181" s="30"/>
      <c r="U181" s="30"/>
      <c r="V181" s="30"/>
      <c r="W181" s="30"/>
      <c r="X181" s="30"/>
      <c r="Y181" s="30"/>
      <c r="Z181" s="30"/>
    </row>
    <row r="182" ht="42.75" customHeight="1">
      <c r="A182" s="31" t="str">
        <f>HYPERLINK("https://drive.google.com/file/d/1c14Uk0mZyrUCdNUnxlz-RzoIwmrQjiF_/view?usp=sharing","2007-43")</f>
        <v>2007-43</v>
      </c>
      <c r="B182" s="32" t="str">
        <f>HYPERLINK("https://drive.google.com/file/d/1c14Uk0mZyrUCdNUnxlz-RzoIwmrQjiF_/view?usp=sharing","ANÁLISE DO TURISMO RURAL NA FAZENDA BOLANDEIRA EM UNA – (BAHIA)")</f>
        <v>ANÁLISE DO TURISMO RURAL NA FAZENDA BOLANDEIRA EM UNA – (BAHIA)</v>
      </c>
      <c r="C182" s="33" t="s">
        <v>33</v>
      </c>
      <c r="D182" s="33" t="s">
        <v>523</v>
      </c>
      <c r="E182" s="33" t="s">
        <v>524</v>
      </c>
      <c r="F182" s="33" t="s">
        <v>36</v>
      </c>
      <c r="G182" s="34">
        <v>39316.0</v>
      </c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30"/>
      <c r="T182" s="30"/>
      <c r="U182" s="30"/>
      <c r="V182" s="30"/>
      <c r="W182" s="30"/>
      <c r="X182" s="30"/>
      <c r="Y182" s="30"/>
      <c r="Z182" s="30"/>
    </row>
    <row r="183" ht="63.75" customHeight="1">
      <c r="A183" s="25" t="str">
        <f>HYPERLINK("https://drive.google.com/file/d/1Hm_rYLiIWWK6x6w43FVAq14obGdqDA_q/view?usp=sharing","2007-44")</f>
        <v>2007-44</v>
      </c>
      <c r="B183" s="26" t="str">
        <f>HYPERLINK("https://drive.google.com/file/d/1Hm_rYLiIWWK6x6w43FVAq14obGdqDA_q/view?usp=sharing","A INFLUÊNCIA DA TAXA BÁSICA DE JUROS NO COMPORTAMENTO DO CONSUMIDOR DO SHOPPING JEQUITIBÁ PLAZA EM ITABUNA - BAHIA (2000-2007): UMA ABORDAGEM ECONOMÉTRICA")</f>
        <v>A INFLUÊNCIA DA TAXA BÁSICA DE JUROS NO COMPORTAMENTO DO CONSUMIDOR DO SHOPPING JEQUITIBÁ PLAZA EM ITABUNA - BAHIA (2000-2007): UMA ABORDAGEM ECONOMÉTRICA</v>
      </c>
      <c r="C183" s="27" t="s">
        <v>111</v>
      </c>
      <c r="D183" s="27" t="s">
        <v>525</v>
      </c>
      <c r="E183" s="27" t="s">
        <v>526</v>
      </c>
      <c r="F183" s="27" t="s">
        <v>527</v>
      </c>
      <c r="G183" s="28">
        <v>39273.0</v>
      </c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30"/>
      <c r="T183" s="30"/>
      <c r="U183" s="30"/>
      <c r="V183" s="30"/>
      <c r="W183" s="30"/>
      <c r="X183" s="30"/>
      <c r="Y183" s="30"/>
      <c r="Z183" s="30"/>
    </row>
    <row r="184" ht="63.75" customHeight="1">
      <c r="A184" s="31" t="str">
        <f>HYPERLINK("https://drive.google.com/file/d/1k2Wjr-kkPJ9BC2W0EuvxEMiBOVYXcTEF/view?usp=sharing","2007-45")</f>
        <v>2007-45</v>
      </c>
      <c r="B184" s="32" t="str">
        <f>HYPERLINK("https://drive.google.com/file/d/1k2Wjr-kkPJ9BC2W0EuvxEMiBOVYXcTEF/view?usp=sharing","VIABILIDADE ECONÔMICO-FINANCEIRA DA PISCICULTURA: UM ESTUDO DE CASO DO NEGÓCIO COMO ALTERNATIVA DE DIVERSIFICAÇÃO PARA A MICRORREGIÃO ILHÉUS-ITABUNA, BAHIA")</f>
        <v>VIABILIDADE ECONÔMICO-FINANCEIRA DA PISCICULTURA: UM ESTUDO DE CASO DO NEGÓCIO COMO ALTERNATIVA DE DIVERSIFICAÇÃO PARA A MICRORREGIÃO ILHÉUS-ITABUNA, BAHIA</v>
      </c>
      <c r="C184" s="33" t="s">
        <v>56</v>
      </c>
      <c r="D184" s="33" t="s">
        <v>528</v>
      </c>
      <c r="E184" s="33" t="s">
        <v>529</v>
      </c>
      <c r="F184" s="33" t="s">
        <v>205</v>
      </c>
      <c r="G184" s="34">
        <v>39129.0</v>
      </c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30"/>
      <c r="T184" s="30"/>
      <c r="U184" s="30"/>
      <c r="V184" s="30"/>
      <c r="W184" s="30"/>
      <c r="X184" s="30"/>
      <c r="Y184" s="30"/>
      <c r="Z184" s="30"/>
    </row>
    <row r="185" ht="63.75" customHeight="1">
      <c r="A185" s="25" t="str">
        <f>HYPERLINK("https://drive.google.com/file/d/1sjmBUFJV4KBh36YXHYMemuUNK2niCBYH/view?usp=sharing","2007-46")</f>
        <v>2007-46</v>
      </c>
      <c r="B185" s="26" t="str">
        <f>HYPERLINK("https://drive.google.com/file/d/1sjmBUFJV4KBh36YXHYMemuUNK2niCBYH/view?usp=sharing","LEVANTAMENTO DO POTENCIAL TURÍSTICO DA FAZENDA MONTE ARARAT (ARATACA – BAHIA): UMA ANÁLISE SUBSIDIADA PELO PERFIL DOS FUNCIONÁRIOS E CARACTERÍSTICAS DA FAZENDA")</f>
        <v>LEVANTAMENTO DO POTENCIAL TURÍSTICO DA FAZENDA MONTE ARARAT (ARATACA – BAHIA): UMA ANÁLISE SUBSIDIADA PELO PERFIL DOS FUNCIONÁRIOS E CARACTERÍSTICAS DA FAZENDA</v>
      </c>
      <c r="C185" s="27" t="s">
        <v>33</v>
      </c>
      <c r="D185" s="27" t="s">
        <v>530</v>
      </c>
      <c r="E185" s="27" t="s">
        <v>531</v>
      </c>
      <c r="F185" s="27" t="s">
        <v>36</v>
      </c>
      <c r="G185" s="28">
        <v>39135.0</v>
      </c>
      <c r="H185" s="45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51.0" customHeight="1">
      <c r="A186" s="31" t="str">
        <f>HYPERLINK("https://drive.google.com/file/d/1HbDqR5Od423K8f-rxUAL_-4A2Ag_sKuY/view?usp=sharing","2007-47")</f>
        <v>2007-47</v>
      </c>
      <c r="B186" s="32" t="str">
        <f>HYPERLINK("https://drive.google.com/file/d/1HbDqR5Od423K8f-rxUAL_-4A2Ag_sKuY/view?usp=sharing","O TURISMO RECEPTIVO DA CIDADE DE ITACARÉ (ESTADO DA BAHIA): UMA ANÁLISE COMPARATIVA ENTRE AS QUATRO ESTAÇÕES DO ANO DE 2007")</f>
        <v>O TURISMO RECEPTIVO DA CIDADE DE ITACARÉ (ESTADO DA BAHIA): UMA ANÁLISE COMPARATIVA ENTRE AS QUATRO ESTAÇÕES DO ANO DE 2007</v>
      </c>
      <c r="C186" s="33" t="s">
        <v>33</v>
      </c>
      <c r="D186" s="33" t="s">
        <v>532</v>
      </c>
      <c r="E186" s="33" t="s">
        <v>533</v>
      </c>
      <c r="F186" s="33" t="s">
        <v>68</v>
      </c>
      <c r="G186" s="34">
        <v>39703.0</v>
      </c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30"/>
      <c r="T186" s="30"/>
      <c r="U186" s="30"/>
      <c r="V186" s="30"/>
      <c r="W186" s="30"/>
      <c r="X186" s="30"/>
      <c r="Y186" s="30"/>
      <c r="Z186" s="30"/>
    </row>
    <row r="187" ht="42.75" customHeight="1">
      <c r="A187" s="25" t="str">
        <f>HYPERLINK("https://drive.google.com/file/d/1ZTjzbzrZzIYSS-Cop_uTYNtQIJbujWDa/view?usp=sharing","2007-48")</f>
        <v>2007-48</v>
      </c>
      <c r="B187" s="26" t="str">
        <f>HYPERLINK("https://drive.google.com/file/d/1ZTjzbzrZzIYSS-Cop_uTYNtQIJbujWDa/view?usp=sharing","MERCADO E COMERCIALIZAÇÃO DO DENDÊ NO MUNICÍPIO DE VALENÇA, BAHIA")</f>
        <v>MERCADO E COMERCIALIZAÇÃO DO DENDÊ NO MUNICÍPIO DE VALENÇA, BAHIA</v>
      </c>
      <c r="C187" s="27" t="s">
        <v>47</v>
      </c>
      <c r="D187" s="27" t="s">
        <v>534</v>
      </c>
      <c r="E187" s="27" t="s">
        <v>535</v>
      </c>
      <c r="F187" s="27" t="s">
        <v>73</v>
      </c>
      <c r="G187" s="28">
        <v>39437.0</v>
      </c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30"/>
      <c r="T187" s="30"/>
      <c r="U187" s="30"/>
      <c r="V187" s="30"/>
      <c r="W187" s="30"/>
      <c r="X187" s="30"/>
      <c r="Y187" s="30"/>
      <c r="Z187" s="30"/>
    </row>
    <row r="188" ht="42.75" customHeight="1">
      <c r="A188" s="31" t="str">
        <f>HYPERLINK("https://drive.google.com/file/d/1tkMnSxq0fqHKLhULS2HJCx70UPbOnywQ/view?usp=sharing","2007-49")</f>
        <v>2007-49</v>
      </c>
      <c r="B188" s="32" t="str">
        <f>HYPERLINK("https://drive.google.com/file/d/1tkMnSxq0fqHKLhULS2HJCx70UPbOnywQ/view?usp=sharing","A RESPONSABILIDADE SOCIAL NO PÓLO DE INFORMÁTICA DO MUNICÍPIO DE ILHÉUS, BAHIA: IMPORTÂNCIA E IMPLICAÇÕES ECONÔMICAS")</f>
        <v>A RESPONSABILIDADE SOCIAL NO PÓLO DE INFORMÁTICA DO MUNICÍPIO DE ILHÉUS, BAHIA: IMPORTÂNCIA E IMPLICAÇÕES ECONÔMICAS</v>
      </c>
      <c r="C188" s="33" t="s">
        <v>301</v>
      </c>
      <c r="D188" s="33" t="s">
        <v>536</v>
      </c>
      <c r="E188" s="33" t="s">
        <v>537</v>
      </c>
      <c r="F188" s="33" t="s">
        <v>371</v>
      </c>
      <c r="G188" s="34">
        <v>39297.0</v>
      </c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30"/>
      <c r="T188" s="30"/>
      <c r="U188" s="30"/>
      <c r="V188" s="30"/>
      <c r="W188" s="30"/>
      <c r="X188" s="30"/>
      <c r="Y188" s="30"/>
      <c r="Z188" s="30"/>
    </row>
    <row r="189" ht="42.75" customHeight="1">
      <c r="A189" s="25" t="str">
        <f>HYPERLINK("https://drive.google.com/file/d/1ZVkOxHXJfMSF-saV9xK0T8NKUpPx1Pet/view?usp=sharing","2007-50")</f>
        <v>2007-50</v>
      </c>
      <c r="B189" s="26" t="str">
        <f>HYPERLINK("https://drive.google.com/file/d/1ZVkOxHXJfMSF-saV9xK0T8NKUpPx1Pet/view?usp=sharing","CARACTERIZAÇÃO DA COLETA DOS PRODUTOS DESTINADOS À RECICLAGEM NO MUNICÍPIO DE ILHÉUS, BAHIA")</f>
        <v>CARACTERIZAÇÃO DA COLETA DOS PRODUTOS DESTINADOS À RECICLAGEM NO MUNICÍPIO DE ILHÉUS, BAHIA</v>
      </c>
      <c r="C189" s="27" t="s">
        <v>61</v>
      </c>
      <c r="D189" s="27" t="s">
        <v>538</v>
      </c>
      <c r="E189" s="27" t="s">
        <v>539</v>
      </c>
      <c r="F189" s="27" t="s">
        <v>540</v>
      </c>
      <c r="G189" s="28">
        <v>39431.0</v>
      </c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30"/>
      <c r="T189" s="30"/>
      <c r="U189" s="30"/>
      <c r="V189" s="30"/>
      <c r="W189" s="30"/>
      <c r="X189" s="30"/>
      <c r="Y189" s="30"/>
      <c r="Z189" s="30"/>
    </row>
    <row r="190" ht="38.25" customHeight="1">
      <c r="A190" s="31" t="str">
        <f>HYPERLINK("https://drive.google.com/file/d/1ylAZJ5TruhUHxgZlIMZTaVKgY_3yDbcv/view?usp=sharing","2007-51")</f>
        <v>2007-51</v>
      </c>
      <c r="B190" s="32" t="str">
        <f>HYPERLINK("https://drive.google.com/file/d/1ylAZJ5TruhUHxgZlIMZTaVKgY_3yDbcv/view?usp=sharing","UMA INVESTIGAÇÃO ACERCA DA TEORIA DE INOVAÇÃO DE SCHUMPETER SOB A ÓTICA DE POSSAS")</f>
        <v>UMA INVESTIGAÇÃO ACERCA DA TEORIA DE INOVAÇÃO DE SCHUMPETER SOB A ÓTICA DE POSSAS</v>
      </c>
      <c r="C190" s="33" t="s">
        <v>311</v>
      </c>
      <c r="D190" s="33" t="s">
        <v>541</v>
      </c>
      <c r="E190" s="33" t="s">
        <v>542</v>
      </c>
      <c r="F190" s="33" t="s">
        <v>88</v>
      </c>
      <c r="G190" s="34">
        <v>39436.0</v>
      </c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30"/>
      <c r="T190" s="30"/>
      <c r="U190" s="30"/>
      <c r="V190" s="30"/>
      <c r="W190" s="30"/>
      <c r="X190" s="30"/>
      <c r="Y190" s="30"/>
      <c r="Z190" s="30"/>
    </row>
    <row r="191" ht="42.75" customHeight="1">
      <c r="A191" s="25" t="str">
        <f>HYPERLINK("https://drive.google.com/file/d/1sX_tG4eAkYGCrZYfUYAleDpqe2gscL9D/view?usp=sharing","2007-52")</f>
        <v>2007-52</v>
      </c>
      <c r="B191" s="26" t="str">
        <f>HYPERLINK("https://drive.google.com/file/d/1sX_tG4eAkYGCrZYfUYAleDpqe2gscL9D/view?usp=sharing","O ENIGMA DO CRESCIMENTO: O DEBATE ENTRE KEYNESIANOS E NEOCLÁSSICOS, E A ABORDAGEM DE PAUL ROMER.")</f>
        <v>O ENIGMA DO CRESCIMENTO: O DEBATE ENTRE KEYNESIANOS E NEOCLÁSSICOS, E A ABORDAGEM DE PAUL ROMER.</v>
      </c>
      <c r="C191" s="27" t="s">
        <v>543</v>
      </c>
      <c r="D191" s="27" t="s">
        <v>544</v>
      </c>
      <c r="E191" s="27" t="s">
        <v>545</v>
      </c>
      <c r="F191" s="27" t="s">
        <v>356</v>
      </c>
      <c r="G191" s="28">
        <v>39147.0</v>
      </c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30"/>
      <c r="T191" s="30"/>
      <c r="U191" s="30"/>
      <c r="V191" s="30"/>
      <c r="W191" s="30"/>
      <c r="X191" s="30"/>
      <c r="Y191" s="30"/>
      <c r="Z191" s="30"/>
    </row>
    <row r="192" ht="38.25" customHeight="1">
      <c r="A192" s="31" t="str">
        <f>HYPERLINK("https://drive.google.com/file/d/1N1DLn_Y8KEN8966VAQWhXOJCmcxT6lcP/view?usp=sharing","2007-53")</f>
        <v>2007-53</v>
      </c>
      <c r="B192" s="32" t="str">
        <f>HYPERLINK("https://drive.google.com/file/d/1N1DLn_Y8KEN8966VAQWhXOJCmcxT6lcP/view?usp=sharing","INFLUÊNCIA DA TAXA DE JUROS SOBRE O CONSUMO E INVESTIMENTO DURANTE O PERÍODO DE 1994 A 2004")</f>
        <v>INFLUÊNCIA DA TAXA DE JUROS SOBRE O CONSUMO E INVESTIMENTO DURANTE O PERÍODO DE 1994 A 2004</v>
      </c>
      <c r="C192" s="33" t="s">
        <v>13</v>
      </c>
      <c r="D192" s="33" t="s">
        <v>546</v>
      </c>
      <c r="E192" s="33" t="s">
        <v>547</v>
      </c>
      <c r="F192" s="33" t="s">
        <v>88</v>
      </c>
      <c r="G192" s="34">
        <v>39468.0</v>
      </c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30"/>
      <c r="T192" s="30"/>
      <c r="U192" s="30"/>
      <c r="V192" s="30"/>
      <c r="W192" s="30"/>
      <c r="X192" s="30"/>
      <c r="Y192" s="30"/>
      <c r="Z192" s="30"/>
    </row>
    <row r="193" ht="42.75" customHeight="1">
      <c r="A193" s="43" t="str">
        <f>HYPERLINK("https://drive.google.com/file/d/1cq2iOjESEE_RKoLUEmiUR_kVhNn7CXRj/view?usp=sharing","2007-54")</f>
        <v>2007-54</v>
      </c>
      <c r="B193" s="26" t="str">
        <f>HYPERLINK("https://drive.google.com/file/d/1cq2iOjESEE_RKoLUEmiUR_kVhNn7CXRj/view?usp=sharing","VIABILIDADE FINANCEIRA DA EMPRESA MEIA NOITE NA CIDADE DE ITABUNA, BAHIA")</f>
        <v>VIABILIDADE FINANCEIRA DA EMPRESA MEIA NOITE NA CIDADE DE ITABUNA, BAHIA</v>
      </c>
      <c r="C193" s="27" t="s">
        <v>56</v>
      </c>
      <c r="D193" s="27"/>
      <c r="E193" s="27" t="s">
        <v>548</v>
      </c>
      <c r="F193" s="27" t="s">
        <v>21</v>
      </c>
      <c r="G193" s="28">
        <v>39296.0</v>
      </c>
      <c r="H193" s="42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51.0" customHeight="1">
      <c r="A194" s="31" t="str">
        <f>HYPERLINK("https://drive.google.com/file/d/1m0UUCMqMrGQidBBebJOjUSY9LLBYi-YM/view?usp=sharing","2007-55")</f>
        <v>2007-55</v>
      </c>
      <c r="B194" s="32" t="str">
        <f>HYPERLINK("https://drive.google.com/file/d/1m0UUCMqMrGQidBBebJOjUSY9LLBYi-YM/view?usp=sharing","IMPACTOS SOCIOECONÔMICOS DA IMPLANTAÇÃO DO PROJETO DE IRRIGAÇÃO DO VALE DO BRUMADO EM LIVRAMENTO DE NOSSA SENHORA, BAHIA (1970-2005)")</f>
        <v>IMPACTOS SOCIOECONÔMICOS DA IMPLANTAÇÃO DO PROJETO DE IRRIGAÇÃO DO VALE DO BRUMADO EM LIVRAMENTO DE NOSSA SENHORA, BAHIA (1970-2005)</v>
      </c>
      <c r="C194" s="33" t="s">
        <v>61</v>
      </c>
      <c r="D194" s="33" t="s">
        <v>549</v>
      </c>
      <c r="E194" s="33" t="s">
        <v>550</v>
      </c>
      <c r="F194" s="33" t="s">
        <v>114</v>
      </c>
      <c r="G194" s="34">
        <v>39416.0</v>
      </c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30"/>
      <c r="T194" s="30"/>
      <c r="U194" s="30"/>
      <c r="V194" s="30"/>
      <c r="W194" s="30"/>
      <c r="X194" s="30"/>
      <c r="Y194" s="30"/>
      <c r="Z194" s="30"/>
    </row>
    <row r="195" ht="64.5" customHeight="1">
      <c r="A195" s="25" t="str">
        <f>HYPERLINK("https://drive.google.com/file/d/147tk32QsAhAKptnUAWsgPOG2luKAaZP1/view?usp=sharing","2007-56")</f>
        <v>2007-56</v>
      </c>
      <c r="B195" s="26" t="str">
        <f>HYPERLINK("https://drive.google.com/file/d/147tk32QsAhAKptnUAWsgPOG2luKAaZP1/view?usp=sharing","ANÁLISE DOS GASTOS PÚBLICOS DO MUNICÍPIO DE UNA - BAHIA NO PERÍODO DE 1996 A 2006")</f>
        <v>ANÁLISE DOS GASTOS PÚBLICOS DO MUNICÍPIO DE UNA - BAHIA NO PERÍODO DE 1996 A 2006</v>
      </c>
      <c r="C195" s="27" t="s">
        <v>23</v>
      </c>
      <c r="D195" s="27" t="s">
        <v>551</v>
      </c>
      <c r="E195" s="27" t="s">
        <v>552</v>
      </c>
      <c r="F195" s="27" t="s">
        <v>184</v>
      </c>
      <c r="G195" s="28">
        <v>39416.0</v>
      </c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30"/>
      <c r="T195" s="30"/>
      <c r="U195" s="30"/>
      <c r="V195" s="30"/>
      <c r="W195" s="30"/>
      <c r="X195" s="30"/>
      <c r="Y195" s="30"/>
      <c r="Z195" s="30"/>
    </row>
    <row r="196" ht="53.25" customHeight="1">
      <c r="A196" s="31" t="str">
        <f>HYPERLINK("https://drive.google.com/file/d/1vhQ8HfP1ceqN_Eci3pK2XlLOHpewkr2d/view?usp=sharing","2007-57")</f>
        <v>2007-57</v>
      </c>
      <c r="B196" s="32" t="str">
        <f>HYPERLINK("https://drive.google.com/file/d/1vhQ8HfP1ceqN_Eci3pK2XlLOHpewkr2d/view?usp=sharing","DESENVOLVIMENTO TURÍSTICO DE ITUBERÁ, BAHIA: UM ESTUDO DA POTENCIALIDADE TURÍSTICA DOS RECURSOS NATURAIS, EM 2007")</f>
        <v>DESENVOLVIMENTO TURÍSTICO DE ITUBERÁ, BAHIA: UM ESTUDO DA POTENCIALIDADE TURÍSTICA DOS RECURSOS NATURAIS, EM 2007</v>
      </c>
      <c r="C196" s="33" t="s">
        <v>33</v>
      </c>
      <c r="D196" s="33" t="s">
        <v>553</v>
      </c>
      <c r="E196" s="33" t="s">
        <v>554</v>
      </c>
      <c r="F196" s="33" t="s">
        <v>36</v>
      </c>
      <c r="G196" s="34">
        <v>39309.0</v>
      </c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30"/>
      <c r="T196" s="30"/>
      <c r="U196" s="30"/>
      <c r="V196" s="30"/>
      <c r="W196" s="30"/>
      <c r="X196" s="30"/>
      <c r="Y196" s="30"/>
      <c r="Z196" s="30"/>
    </row>
    <row r="197" ht="42.75" customHeight="1">
      <c r="A197" s="25" t="str">
        <f>HYPERLINK("https://drive.google.com/file/d/17m1Z7hfRN87bU_prx18ZE5DmwC2GQlZt/view?usp=sharing","2007-58")</f>
        <v>2007-58</v>
      </c>
      <c r="B197" s="26" t="str">
        <f>HYPERLINK("https://drive.google.com/file/d/17m1Z7hfRN87bU_prx18ZE5DmwC2GQlZt/view?usp=sharing","A ANÁLISE ECONÔMICO-FINANCEIRA DA EMPRESA RIMA DECORAÇÕES NO COMÉRCIO DE ITABUNA – BAHIA")</f>
        <v>A ANÁLISE ECONÔMICO-FINANCEIRA DA EMPRESA RIMA DECORAÇÕES NO COMÉRCIO DE ITABUNA – BAHIA</v>
      </c>
      <c r="C197" s="27" t="s">
        <v>410</v>
      </c>
      <c r="D197" s="27" t="s">
        <v>555</v>
      </c>
      <c r="E197" s="27" t="s">
        <v>556</v>
      </c>
      <c r="F197" s="27" t="s">
        <v>16</v>
      </c>
      <c r="G197" s="28">
        <v>39150.0</v>
      </c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30"/>
      <c r="U197" s="30"/>
      <c r="V197" s="30"/>
      <c r="W197" s="30"/>
      <c r="X197" s="30"/>
      <c r="Y197" s="30"/>
      <c r="Z197" s="30"/>
    </row>
    <row r="198" ht="51.0" customHeight="1">
      <c r="A198" s="31" t="str">
        <f>HYPERLINK("https://drive.google.com/file/d/1W3ILqTvqndQtvHfrjkZ4_sdF1zLiQFog/view?usp=sharing","2007-59")</f>
        <v>2007-59</v>
      </c>
      <c r="B198" s="32" t="str">
        <f>HYPERLINK("https://drive.google.com/file/d/1W3ILqTvqndQtvHfrjkZ4_sdF1zLiQFog/view?usp=sharing","ESTIMATIVA DA CURVA DE PHILLIPS PARA O BRASIL: A RELAÇÃO ENTRE TAXA DE JUROS E CRESCIMENTO ECONÔMICO, INFLAÇÃO E O DESEMPREGO DE 1994 A 2005")</f>
        <v>ESTIMATIVA DA CURVA DE PHILLIPS PARA O BRASIL: A RELAÇÃO ENTRE TAXA DE JUROS E CRESCIMENTO ECONÔMICO, INFLAÇÃO E O DESEMPREGO DE 1994 A 2005</v>
      </c>
      <c r="C198" s="33" t="s">
        <v>167</v>
      </c>
      <c r="D198" s="33" t="s">
        <v>557</v>
      </c>
      <c r="E198" s="33" t="s">
        <v>558</v>
      </c>
      <c r="F198" s="33" t="s">
        <v>105</v>
      </c>
      <c r="G198" s="34">
        <v>39464.0</v>
      </c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30"/>
      <c r="U198" s="30"/>
      <c r="V198" s="30"/>
      <c r="W198" s="30"/>
      <c r="X198" s="30"/>
      <c r="Y198" s="30"/>
      <c r="Z198" s="30"/>
    </row>
    <row r="199" ht="42.75" customHeight="1">
      <c r="A199" s="25" t="str">
        <f>HYPERLINK("https://drive.google.com/file/d/1g1tOZOd-9Grad0BJTJi7u1tYw_5tYkla/view?usp=sharing","2007-60")</f>
        <v>2007-60</v>
      </c>
      <c r="B199" s="26" t="str">
        <f>HYPERLINK("https://drive.google.com/file/d/1g1tOZOd-9Grad0BJTJi7u1tYw_5tYkla/view?usp=sharing","LEI DA UTILIDADE MARGINAL DECRESCENTE: UMA APLICAÇÃO EMPÍRICA NO MERCADO DE CERVEJA")</f>
        <v>LEI DA UTILIDADE MARGINAL DECRESCENTE: UMA APLICAÇÃO EMPÍRICA NO MERCADO DE CERVEJA</v>
      </c>
      <c r="C199" s="27" t="s">
        <v>116</v>
      </c>
      <c r="D199" s="27" t="s">
        <v>559</v>
      </c>
      <c r="E199" s="27" t="s">
        <v>560</v>
      </c>
      <c r="F199" s="27" t="s">
        <v>180</v>
      </c>
      <c r="G199" s="28">
        <v>39416.0</v>
      </c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30"/>
      <c r="U199" s="30"/>
      <c r="V199" s="30"/>
      <c r="W199" s="30"/>
      <c r="X199" s="30"/>
      <c r="Y199" s="30"/>
      <c r="Z199" s="30"/>
    </row>
    <row r="200" ht="42.75" customHeight="1">
      <c r="A200" s="31" t="str">
        <f>HYPERLINK("https://drive.google.com/file/d/1J-zG7VGMiBKztXiYUKX3wiO1s_2wzTtE/view?usp=sharing","2007-61")</f>
        <v>2007-61</v>
      </c>
      <c r="B200" s="32" t="str">
        <f>HYPERLINK("https://drive.google.com/file/d/1J-zG7VGMiBKztXiYUKX3wiO1s_2wzTtE/view?usp=sharing","RESULTADO DA INTERVENÇÃO ESTATAL NA INDUSTRIALIZAÇÃO DA BAHIA A PARTIR DOS ANOS 90")</f>
        <v>RESULTADO DA INTERVENÇÃO ESTATAL NA INDUSTRIALIZAÇÃO DA BAHIA A PARTIR DOS ANOS 90</v>
      </c>
      <c r="C200" s="33" t="s">
        <v>52</v>
      </c>
      <c r="D200" s="33" t="s">
        <v>561</v>
      </c>
      <c r="E200" s="33" t="s">
        <v>562</v>
      </c>
      <c r="F200" s="33" t="s">
        <v>473</v>
      </c>
      <c r="G200" s="34">
        <v>39164.0</v>
      </c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30"/>
      <c r="U200" s="30"/>
      <c r="V200" s="30"/>
      <c r="W200" s="30"/>
      <c r="X200" s="30"/>
      <c r="Y200" s="30"/>
      <c r="Z200" s="30"/>
    </row>
    <row r="201" ht="42.75" customHeight="1">
      <c r="A201" s="41" t="str">
        <f>HYPERLINK("https://drive.google.com/file/d/1i7ECNyqu3zj_PzmU-VuKcOQJY_M_YzbB/view?usp=sharing","2007-62")</f>
        <v>2007-62</v>
      </c>
      <c r="B201" s="26" t="str">
        <f>HYPERLINK("https://drive.google.com/file/d/1i7ECNyqu3zj_PzmU-VuKcOQJY_M_YzbB/view?usp=sharing","PLANO REAL: ANÁLISE DO PROGRAMA DE ESTABILIZAÇÃO NO PERÍODO DE 1994 A 1997")</f>
        <v>PLANO REAL: ANÁLISE DO PROGRAMA DE ESTABILIZAÇÃO NO PERÍODO DE 1994 A 1997</v>
      </c>
      <c r="C201" s="27" t="s">
        <v>52</v>
      </c>
      <c r="D201" s="27" t="s">
        <v>563</v>
      </c>
      <c r="E201" s="27" t="s">
        <v>564</v>
      </c>
      <c r="F201" s="27" t="s">
        <v>147</v>
      </c>
      <c r="G201" s="28">
        <v>39112.0</v>
      </c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30"/>
      <c r="U201" s="30"/>
      <c r="V201" s="30"/>
      <c r="W201" s="30"/>
      <c r="X201" s="30"/>
      <c r="Y201" s="30"/>
      <c r="Z201" s="30"/>
    </row>
    <row r="202" ht="28.5" customHeight="1">
      <c r="A202" s="31" t="str">
        <f>HYPERLINK("https://drive.google.com/file/d/17tSEyAX21-7Lw05Yy_jp5JbO_Ssv2J2R/view?usp=sharing","2007-63")</f>
        <v>2007-63</v>
      </c>
      <c r="B202" s="32" t="str">
        <f>HYPERLINK("https://drive.google.com/file/d/17tSEyAX21-7Lw05Yy_jp5JbO_Ssv2J2R/view?usp=sharing","A EVOLUÇÃO DOS GASTOS SOCIAIS FEDERAIS NO BRASIL DE 1995 A 2005")</f>
        <v>A EVOLUÇÃO DOS GASTOS SOCIAIS FEDERAIS NO BRASIL DE 1995 A 2005</v>
      </c>
      <c r="C202" s="33" t="s">
        <v>23</v>
      </c>
      <c r="D202" s="33" t="s">
        <v>565</v>
      </c>
      <c r="E202" s="33" t="s">
        <v>566</v>
      </c>
      <c r="F202" s="33" t="s">
        <v>105</v>
      </c>
      <c r="G202" s="34">
        <v>39464.0</v>
      </c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30"/>
      <c r="U202" s="30"/>
      <c r="V202" s="30"/>
      <c r="W202" s="30"/>
      <c r="X202" s="30"/>
      <c r="Y202" s="30"/>
      <c r="Z202" s="30"/>
    </row>
    <row r="203" ht="51.0" customHeight="1">
      <c r="A203" s="25" t="str">
        <f>HYPERLINK("https://drive.google.com/file/d/1_0a7wWhBGxg0T7kFtuX0v0LJc_GP6UhT/view?usp=sharing","2007-64")</f>
        <v>2007-64</v>
      </c>
      <c r="B203" s="26" t="str">
        <f>HYPERLINK("https://drive.google.com/file/d/1_0a7wWhBGxg0T7kFtuX0v0LJc_GP6UhT/view?usp=sharing","ANÁLISE DA QUALIFICAÇÃO DA MÃO-DE-OBRA NOS BARES E RESTAURANTES NO CONTEXTO DA ATIVIDADE TURÍSTICA DA CIDADE DE ILHÉUS-BAHIA")</f>
        <v>ANÁLISE DA QUALIFICAÇÃO DA MÃO-DE-OBRA NOS BARES E RESTAURANTES NO CONTEXTO DA ATIVIDADE TURÍSTICA DA CIDADE DE ILHÉUS-BAHIA</v>
      </c>
      <c r="C203" s="27" t="s">
        <v>33</v>
      </c>
      <c r="D203" s="27" t="s">
        <v>567</v>
      </c>
      <c r="E203" s="27" t="s">
        <v>568</v>
      </c>
      <c r="F203" s="27" t="s">
        <v>36</v>
      </c>
      <c r="G203" s="28">
        <v>39140.0</v>
      </c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30"/>
      <c r="U203" s="30"/>
      <c r="V203" s="30"/>
      <c r="W203" s="30"/>
      <c r="X203" s="30"/>
      <c r="Y203" s="30"/>
      <c r="Z203" s="30"/>
    </row>
    <row r="204" ht="42.75" customHeight="1">
      <c r="A204" s="31" t="str">
        <f>HYPERLINK("https://drive.google.com/file/d/1VwcpRg_DnRwiU7n8eDECD7vDMxCAapYJ/view?usp=sharing","2007-65")</f>
        <v>2007-65</v>
      </c>
      <c r="B204" s="32" t="str">
        <f>HYPERLINK("https://drive.google.com/file/d/1VwcpRg_DnRwiU7n8eDECD7vDMxCAapYJ/view?usp=sharing","COMPORTAMENTO DAS CONTAS PÚBLICAS DO MUNICÍPIO DE SANTA CRUZ DA VITÓRIA, BAHIA, 1997 A 2003")</f>
        <v>COMPORTAMENTO DAS CONTAS PÚBLICAS DO MUNICÍPIO DE SANTA CRUZ DA VITÓRIA, BAHIA, 1997 A 2003</v>
      </c>
      <c r="C204" s="33" t="s">
        <v>23</v>
      </c>
      <c r="D204" s="33" t="s">
        <v>569</v>
      </c>
      <c r="E204" s="33" t="s">
        <v>570</v>
      </c>
      <c r="F204" s="33" t="s">
        <v>399</v>
      </c>
      <c r="G204" s="34">
        <v>39315.0</v>
      </c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30"/>
      <c r="T204" s="30"/>
      <c r="U204" s="30"/>
      <c r="V204" s="30"/>
      <c r="W204" s="30"/>
      <c r="X204" s="30"/>
      <c r="Y204" s="30"/>
      <c r="Z204" s="30"/>
    </row>
    <row r="205" ht="38.25" customHeight="1">
      <c r="A205" s="25" t="str">
        <f>HYPERLINK("https://drive.google.com/file/d/1_xSJhW2XTdIE3XB-QW9JdXmbW4GSIEJd/view?usp=sharing","2007-66")</f>
        <v>2007-66</v>
      </c>
      <c r="B205" s="26" t="str">
        <f>HYPERLINK("https://drive.google.com/file/d/1_xSJhW2XTdIE3XB-QW9JdXmbW4GSIEJd/view?usp=sharing","ESTUDO DE CASO DO PROJETO DE ASSENTAMENTO AUXILIADORA EM CAMACAN BAHIA")</f>
        <v>ESTUDO DE CASO DO PROJETO DE ASSENTAMENTO AUXILIADORA EM CAMACAN BAHIA</v>
      </c>
      <c r="C205" s="27"/>
      <c r="D205" s="27"/>
      <c r="E205" s="27" t="s">
        <v>571</v>
      </c>
      <c r="F205" s="27" t="s">
        <v>572</v>
      </c>
      <c r="G205" s="35">
        <v>2007.0</v>
      </c>
      <c r="H205" s="45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51.75" customHeight="1">
      <c r="A206" s="31" t="str">
        <f>HYPERLINK("https://drive.google.com/file/d/1ecX9q-bsxjl2Tw8xjW_ogwaqTUXP2yFu/view?usp=sharing","2007-67")</f>
        <v>2007-67</v>
      </c>
      <c r="B206" s="32" t="str">
        <f>HYPERLINK("https://drive.google.com/file/d/1ecX9q-bsxjl2Tw8xjW_ogwaqTUXP2yFu/view?usp=sharing","PROGRAMA DE GARANTIA DE RENDA MÍNIMA: a importância do Programa Bolsa Família nos pequenos municípios da microrregião Ilhéus-Itabuna, Bahia, em 2006.")</f>
        <v>PROGRAMA DE GARANTIA DE RENDA MÍNIMA: a importância do Programa Bolsa Família nos pequenos municípios da microrregião Ilhéus-Itabuna, Bahia, em 2006.</v>
      </c>
      <c r="C206" s="33" t="s">
        <v>573</v>
      </c>
      <c r="D206" s="33" t="s">
        <v>574</v>
      </c>
      <c r="E206" s="33" t="s">
        <v>575</v>
      </c>
      <c r="F206" s="33" t="s">
        <v>576</v>
      </c>
      <c r="G206" s="36">
        <v>2007.0</v>
      </c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30"/>
      <c r="T206" s="30"/>
      <c r="U206" s="30"/>
      <c r="V206" s="30"/>
      <c r="W206" s="30"/>
      <c r="X206" s="30"/>
      <c r="Y206" s="30"/>
      <c r="Z206" s="30"/>
    </row>
    <row r="207" ht="57.0" customHeight="1">
      <c r="A207" s="25" t="str">
        <f>HYPERLINK("https://drive.google.com/file/d/1MFTHLAshicKhkrGVkEEy_hOO6UXYNRk9/view?usp=sharing","2008-01")</f>
        <v>2008-01</v>
      </c>
      <c r="B207" s="26" t="str">
        <f>HYPERLINK("https://drive.google.com/file/d/1MFTHLAshicKhkrGVkEEy_hOO6UXYNRk9/view?usp=sharing","ANÁLISE DO FEDERALISMO FISCAL BRASILEIRO, NO PERÍODO DE 1988 A 2005.")</f>
        <v>ANÁLISE DO FEDERALISMO FISCAL BRASILEIRO, NO PERÍODO DE 1988 A 2005.</v>
      </c>
      <c r="C207" s="27" t="s">
        <v>23</v>
      </c>
      <c r="D207" s="27" t="s">
        <v>577</v>
      </c>
      <c r="E207" s="27" t="s">
        <v>578</v>
      </c>
      <c r="F207" s="27" t="s">
        <v>184</v>
      </c>
      <c r="G207" s="28">
        <v>39877.0</v>
      </c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30"/>
      <c r="T207" s="30"/>
      <c r="U207" s="30"/>
      <c r="V207" s="30"/>
      <c r="W207" s="30"/>
      <c r="X207" s="30"/>
      <c r="Y207" s="30"/>
      <c r="Z207" s="30"/>
    </row>
    <row r="208" ht="42.75" customHeight="1">
      <c r="A208" s="31" t="str">
        <f>HYPERLINK("https://drive.google.com/file/d/1VhB8Mw4n-WQBSrAWO5gUwOANkKP3rHN0/view?usp=sharing","2008-02")</f>
        <v>2008-02</v>
      </c>
      <c r="B208" s="32" t="str">
        <f>HYPERLINK("https://drive.google.com/file/d/1VhB8Mw4n-WQBSrAWO5gUwOANkKP3rHN0/view?usp=sharing","O PENSAMENTO ECONÔMICO NO SÉCULO XX: a contribuição histórica da Comissão Econômica para a América Latina e Caribe- CEPAL ")</f>
        <v>O PENSAMENTO ECONÔMICO NO SÉCULO XX: a contribuição histórica da Comissão Econômica para a América Latina e Caribe- CEPAL </v>
      </c>
      <c r="C208" s="33" t="s">
        <v>159</v>
      </c>
      <c r="D208" s="33" t="s">
        <v>579</v>
      </c>
      <c r="E208" s="33" t="s">
        <v>580</v>
      </c>
      <c r="F208" s="33" t="s">
        <v>473</v>
      </c>
      <c r="G208" s="34">
        <v>39703.0</v>
      </c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30"/>
      <c r="T208" s="30"/>
      <c r="U208" s="30"/>
      <c r="V208" s="30"/>
      <c r="W208" s="30"/>
      <c r="X208" s="30"/>
      <c r="Y208" s="30"/>
      <c r="Z208" s="30"/>
    </row>
    <row r="209" ht="38.25" customHeight="1">
      <c r="A209" s="25" t="str">
        <f>HYPERLINK("https://drive.google.com/file/d/1nUM3Iv5w5X7pLq-epm0PE4X85gdilEy8/view?usp=sharing","2008-03")</f>
        <v>2008-03</v>
      </c>
      <c r="B209" s="26" t="str">
        <f>HYPERLINK("https://drive.google.com/file/d/1nUM3Iv5w5X7pLq-epm0PE4X85gdilEy8/view?usp=sharing","A INTERVENÇÃO DO ESTADO NO BRASIL SEGUNDO A CONCEPÇÃO DE DEMANDA EFETIVA DE KEYNES, 1929-1935.")</f>
        <v>A INTERVENÇÃO DO ESTADO NO BRASIL SEGUNDO A CONCEPÇÃO DE DEMANDA EFETIVA DE KEYNES, 1929-1935.</v>
      </c>
      <c r="C209" s="27" t="s">
        <v>311</v>
      </c>
      <c r="D209" s="27" t="s">
        <v>581</v>
      </c>
      <c r="E209" s="27" t="s">
        <v>582</v>
      </c>
      <c r="F209" s="27" t="s">
        <v>162</v>
      </c>
      <c r="G209" s="28">
        <v>39687.0</v>
      </c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30"/>
      <c r="T209" s="30"/>
      <c r="U209" s="30"/>
      <c r="V209" s="30"/>
      <c r="W209" s="30"/>
      <c r="X209" s="30"/>
      <c r="Y209" s="30"/>
      <c r="Z209" s="30"/>
    </row>
    <row r="210" ht="42.75" customHeight="1">
      <c r="A210" s="31" t="str">
        <f>HYPERLINK("https://drive.google.com/file/d/1BGdJj63unAjdlw_mtTH7-NdbBWsbQHJd/view?usp=sharing","2008-04")</f>
        <v>2008-04</v>
      </c>
      <c r="B210" s="32" t="str">
        <f>HYPERLINK("https://drive.google.com/file/d/1BGdJj63unAjdlw_mtTH7-NdbBWsbQHJd/view?usp=sharing","ANÁLISE DO MERCADO DE SURFWEAR NA CIDADE DE ILHÉUS")</f>
        <v>ANÁLISE DO MERCADO DE SURFWEAR NA CIDADE DE ILHÉUS</v>
      </c>
      <c r="C210" s="33" t="s">
        <v>583</v>
      </c>
      <c r="D210" s="33" t="s">
        <v>584</v>
      </c>
      <c r="E210" s="33" t="s">
        <v>585</v>
      </c>
      <c r="F210" s="33" t="s">
        <v>180</v>
      </c>
      <c r="G210" s="34">
        <v>39782.0</v>
      </c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30"/>
      <c r="T210" s="30"/>
      <c r="U210" s="30"/>
      <c r="V210" s="30"/>
      <c r="W210" s="30"/>
      <c r="X210" s="30"/>
      <c r="Y210" s="30"/>
      <c r="Z210" s="30"/>
    </row>
    <row r="211" ht="38.25" customHeight="1">
      <c r="A211" s="25" t="str">
        <f>HYPERLINK("https://drive.google.com/file/d/1BbDrF51stQyg6dsaqaspIEq_EQsFwsiW/view?usp=sharing","2008-05")</f>
        <v>2008-05</v>
      </c>
      <c r="B211" s="26" t="str">
        <f>HYPERLINK("https://drive.google.com/file/d/1BbDrF51stQyg6dsaqaspIEq_EQsFwsiW/view?usp=sharing","CARACTERÍSTICAS DO EMPREGO NAS ATIVIDADES TURÍSTICAS DO MUNICÍPIO DE CANAVIEIRAS – BAHIA, EM 2007")</f>
        <v>CARACTERÍSTICAS DO EMPREGO NAS ATIVIDADES TURÍSTICAS DO MUNICÍPIO DE CANAVIEIRAS – BAHIA, EM 2007</v>
      </c>
      <c r="C211" s="27" t="s">
        <v>33</v>
      </c>
      <c r="D211" s="27" t="s">
        <v>586</v>
      </c>
      <c r="E211" s="27" t="s">
        <v>587</v>
      </c>
      <c r="F211" s="27" t="s">
        <v>64</v>
      </c>
      <c r="G211" s="28">
        <v>39791.0</v>
      </c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30"/>
      <c r="T211" s="30"/>
      <c r="U211" s="30"/>
      <c r="V211" s="30"/>
      <c r="W211" s="30"/>
      <c r="X211" s="30"/>
      <c r="Y211" s="30"/>
      <c r="Z211" s="30"/>
    </row>
    <row r="212" ht="42.75" customHeight="1">
      <c r="A212" s="31" t="str">
        <f>HYPERLINK("https://drive.google.com/file/d/15H0GmqlcMZHtYtneiL-3IJbBiYTI2ORl/view?usp=sharing","2008-06")</f>
        <v>2008-06</v>
      </c>
      <c r="B212" s="32" t="str">
        <f>HYPERLINK("https://drive.google.com/file/d/15H0GmqlcMZHtYtneiL-3IJbBiYTI2ORl/view?usp=sharing","TAXA DE CÂMBIO E O PREÇO DO CACAU NO SUL DA BAHIA, NO PERÍODO DE 2002 A 2007")</f>
        <v>TAXA DE CÂMBIO E O PREÇO DO CACAU NO SUL DA BAHIA, NO PERÍODO DE 2002 A 2007</v>
      </c>
      <c r="C212" s="33" t="s">
        <v>252</v>
      </c>
      <c r="D212" s="33" t="s">
        <v>588</v>
      </c>
      <c r="E212" s="33" t="s">
        <v>589</v>
      </c>
      <c r="F212" s="33" t="s">
        <v>572</v>
      </c>
      <c r="G212" s="34">
        <v>39689.0</v>
      </c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30"/>
      <c r="T212" s="30"/>
      <c r="U212" s="30"/>
      <c r="V212" s="30"/>
      <c r="W212" s="30"/>
      <c r="X212" s="30"/>
      <c r="Y212" s="30"/>
      <c r="Z212" s="30"/>
    </row>
    <row r="213" ht="42.75" customHeight="1">
      <c r="A213" s="25" t="str">
        <f>HYPERLINK("https://drive.google.com/file/d/1iosA4SHdHxIIkAqQh5ydrZZTAcmXntx8/view?usp=sharing","2008-07")</f>
        <v>2008-07</v>
      </c>
      <c r="B213" s="26" t="str">
        <f>HYPERLINK("https://drive.google.com/file/d/1iosA4SHdHxIIkAqQh5ydrZZTAcmXntx8/view?usp=sharing","FATORES QUE INFLUENCIAM A ESCOLHA DO CONSUMIDOR DA CENTRAL DE ABASTECIMENTO DE ILHÉUS, BAHIA.")</f>
        <v>FATORES QUE INFLUENCIAM A ESCOLHA DO CONSUMIDOR DA CENTRAL DE ABASTECIMENTO DE ILHÉUS, BAHIA.</v>
      </c>
      <c r="C213" s="27" t="s">
        <v>116</v>
      </c>
      <c r="D213" s="27" t="s">
        <v>590</v>
      </c>
      <c r="E213" s="27" t="s">
        <v>591</v>
      </c>
      <c r="F213" s="27" t="s">
        <v>399</v>
      </c>
      <c r="G213" s="28">
        <v>39489.0</v>
      </c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30"/>
      <c r="T213" s="30"/>
      <c r="U213" s="30"/>
      <c r="V213" s="30"/>
      <c r="W213" s="30"/>
      <c r="X213" s="30"/>
      <c r="Y213" s="30"/>
      <c r="Z213" s="30"/>
    </row>
    <row r="214" ht="38.25" customHeight="1">
      <c r="A214" s="31" t="str">
        <f>HYPERLINK("https://drive.google.com/file/d/1frm2DkvEq_rVNRNzIPc8FUbTgoSJJ9-m/view?usp=sharing","2008-08")</f>
        <v>2008-08</v>
      </c>
      <c r="B214" s="32" t="str">
        <f>HYPERLINK("https://drive.google.com/file/d/1frm2DkvEq_rVNRNzIPc8FUbTgoSJJ9-m/view?usp=sharing","TRIBUTAÇÃO E DISTRIBUIÇÃO DE RENDA : uma análise dos impactos da carga tributária indireta sobre alimentação na cidade de Ilhéus - BA")</f>
        <v>TRIBUTAÇÃO E DISTRIBUIÇÃO DE RENDA : uma análise dos impactos da carga tributária indireta sobre alimentação na cidade de Ilhéus - BA</v>
      </c>
      <c r="C214" s="33" t="s">
        <v>23</v>
      </c>
      <c r="D214" s="33" t="s">
        <v>592</v>
      </c>
      <c r="E214" s="33" t="s">
        <v>593</v>
      </c>
      <c r="F214" s="33" t="s">
        <v>594</v>
      </c>
      <c r="G214" s="34">
        <v>39629.0</v>
      </c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30"/>
      <c r="T214" s="30"/>
      <c r="U214" s="30"/>
      <c r="V214" s="30"/>
      <c r="W214" s="30"/>
      <c r="X214" s="30"/>
      <c r="Y214" s="30"/>
      <c r="Z214" s="30"/>
    </row>
    <row r="215" ht="42.75" customHeight="1">
      <c r="A215" s="25" t="str">
        <f>HYPERLINK("https://drive.google.com/file/d/10Gvjw_4lqBhR3-9TBZ7diT2HnZjhX35d/view?usp=sharing","2008-09")</f>
        <v>2008-09</v>
      </c>
      <c r="B215" s="26" t="str">
        <f>HYPERLINK("https://drive.google.com/file/d/10Gvjw_4lqBhR3-9TBZ7diT2HnZjhX35d/view?usp=sharing","EXTERNALIDADES DA RECICLAGEM DE PET PARA O MUNICÍPIO DE ILHÉUS-BAHIA")</f>
        <v>EXTERNALIDADES DA RECICLAGEM DE PET PARA O MUNICÍPIO DE ILHÉUS-BAHIA</v>
      </c>
      <c r="C215" s="27" t="s">
        <v>43</v>
      </c>
      <c r="D215" s="27" t="s">
        <v>595</v>
      </c>
      <c r="E215" s="27" t="s">
        <v>596</v>
      </c>
      <c r="F215" s="27" t="s">
        <v>180</v>
      </c>
      <c r="G215" s="28">
        <v>39696.0</v>
      </c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30"/>
      <c r="T215" s="30"/>
      <c r="U215" s="30"/>
      <c r="V215" s="30"/>
      <c r="W215" s="30"/>
      <c r="X215" s="30"/>
      <c r="Y215" s="30"/>
      <c r="Z215" s="30"/>
    </row>
    <row r="216" ht="51.0" customHeight="1">
      <c r="A216" s="31" t="str">
        <f>HYPERLINK("https://drive.google.com/file/d/1-ZXKfX3F7c5LwwyW-R__PsAQS5hrzTmd/view?usp=sharing","2008-10")</f>
        <v>2008-10</v>
      </c>
      <c r="B216" s="32" t="str">
        <f>HYPERLINK("https://drive.google.com/file/d/1-ZXKfX3F7c5LwwyW-R__PsAQS5hrzTmd/view?usp=sharing","UM ESTUDO SOBRE OS FATORES DE DECISÃO DE COMPRA DOS CONSUMIDORES NO COMÉRCIO INFORMAL DO CENTRO DE ILHÉUS-BAHIA")</f>
        <v>UM ESTUDO SOBRE OS FATORES DE DECISÃO DE COMPRA DOS CONSUMIDORES NO COMÉRCIO INFORMAL DO CENTRO DE ILHÉUS-BAHIA</v>
      </c>
      <c r="C216" s="33" t="s">
        <v>111</v>
      </c>
      <c r="D216" s="33" t="s">
        <v>597</v>
      </c>
      <c r="E216" s="33" t="s">
        <v>598</v>
      </c>
      <c r="F216" s="33" t="s">
        <v>356</v>
      </c>
      <c r="G216" s="34">
        <v>39696.0</v>
      </c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30"/>
      <c r="T216" s="30"/>
      <c r="U216" s="30"/>
      <c r="V216" s="30"/>
      <c r="W216" s="30"/>
      <c r="X216" s="30"/>
      <c r="Y216" s="30"/>
      <c r="Z216" s="30"/>
    </row>
    <row r="217" ht="42.75" customHeight="1">
      <c r="A217" s="25" t="str">
        <f>HYPERLINK("https://drive.google.com/file/d/0B9a5BtXYBva5eTd3SEhXSklEWHc/view?usp=sharing","2008-11")</f>
        <v>2008-11</v>
      </c>
      <c r="B217" s="26" t="str">
        <f>HYPERLINK("https://drive.google.com/file/d/1EJKj4-JRp3iBHFDMubrI5dQ2nh9WDaos/view?usp=sharing","DESEMPENHO DA CARGA TRIBUTÁRIA E SUA RELAÇÃO COM O CRESCIMENTO ECONÔMICO NO BRASIL NO PERÍODO DE 1950 A 2007")</f>
        <v>DESEMPENHO DA CARGA TRIBUTÁRIA E SUA RELAÇÃO COM O CRESCIMENTO ECONÔMICO NO BRASIL NO PERÍODO DE 1950 A 2007</v>
      </c>
      <c r="C217" s="27" t="s">
        <v>96</v>
      </c>
      <c r="D217" s="27" t="s">
        <v>599</v>
      </c>
      <c r="E217" s="27" t="s">
        <v>600</v>
      </c>
      <c r="F217" s="27" t="s">
        <v>147</v>
      </c>
      <c r="G217" s="28">
        <v>39667.0</v>
      </c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30"/>
      <c r="T217" s="30"/>
      <c r="U217" s="30"/>
      <c r="V217" s="30"/>
      <c r="W217" s="30"/>
      <c r="X217" s="30"/>
      <c r="Y217" s="30"/>
      <c r="Z217" s="30"/>
    </row>
    <row r="218" ht="63.75" customHeight="1">
      <c r="A218" s="31" t="str">
        <f>HYPERLINK("https://drive.google.com/file/d/1-wZfg979CZ8ZpPzNBxZ1J2YtBPhS92sq/view?usp=sharing","2008-12")</f>
        <v>2008-12</v>
      </c>
      <c r="B218" s="32" t="str">
        <f>HYPERLINK("https://drive.google.com/file/d/1-wZfg979CZ8ZpPzNBxZ1J2YtBPhS92sq/view?usp=sharing","REESTRUTURAÇÃO PRODUTIVA DO SETOR INDUSTRIAL DO JAPÃO PÓS SEGUNDA GUERRA MUNDIAL: UMA RELAÇÃO ENTRE POLÍTICAS ESTRATÉGICAS INDUSTRIAIS E CRESCIMENTO ECONÔMICO")</f>
        <v>REESTRUTURAÇÃO PRODUTIVA DO SETOR INDUSTRIAL DO JAPÃO PÓS SEGUNDA GUERRA MUNDIAL: UMA RELAÇÃO ENTRE POLÍTICAS ESTRATÉGICAS INDUSTRIAIS E CRESCIMENTO ECONÔMICO</v>
      </c>
      <c r="C218" s="33" t="s">
        <v>252</v>
      </c>
      <c r="D218" s="33" t="s">
        <v>601</v>
      </c>
      <c r="E218" s="33" t="s">
        <v>602</v>
      </c>
      <c r="F218" s="33" t="s">
        <v>170</v>
      </c>
      <c r="G218" s="34">
        <v>39682.0</v>
      </c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30"/>
      <c r="T218" s="30"/>
      <c r="U218" s="30"/>
      <c r="V218" s="30"/>
      <c r="W218" s="30"/>
      <c r="X218" s="30"/>
      <c r="Y218" s="30"/>
      <c r="Z218" s="30"/>
    </row>
    <row r="219" ht="63.75" customHeight="1">
      <c r="A219" s="25" t="str">
        <f>HYPERLINK("https://drive.google.com/file/d/1bYgccShgL1J7oPgBGUbPAHTftOkHvZ6z/view?usp=sharing","2008-13")</f>
        <v>2008-13</v>
      </c>
      <c r="B219" s="26" t="str">
        <f>HYPERLINK("https://drive.google.com/file/d/1bYgccShgL1J7oPgBGUbPAHTftOkHvZ6z/view?usp=sharing","O PANORAMA NACIONAL DO IMPOSTO SOBRE CIRCULAÇÃO DE MERCADORIAS E SERVIÇOS ECOLÓGICO (ICMS-E): UMA ANÁLISE DE CONTRIBUIÇÃO TRIBUTÁRIA PARA OS MUNICÍPIOS DO SUL DA BAHIA")</f>
        <v>O PANORAMA NACIONAL DO IMPOSTO SOBRE CIRCULAÇÃO DE MERCADORIAS E SERVIÇOS ECOLÓGICO (ICMS-E): UMA ANÁLISE DE CONTRIBUIÇÃO TRIBUTÁRIA PARA OS MUNICÍPIOS DO SUL DA BAHIA</v>
      </c>
      <c r="C219" s="27" t="s">
        <v>23</v>
      </c>
      <c r="D219" s="27" t="s">
        <v>603</v>
      </c>
      <c r="E219" s="27" t="s">
        <v>604</v>
      </c>
      <c r="F219" s="27" t="s">
        <v>540</v>
      </c>
      <c r="G219" s="28">
        <v>39692.0</v>
      </c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30"/>
      <c r="T219" s="30"/>
      <c r="U219" s="30"/>
      <c r="V219" s="30"/>
      <c r="W219" s="30"/>
      <c r="X219" s="30"/>
      <c r="Y219" s="30"/>
      <c r="Z219" s="30"/>
    </row>
    <row r="220" ht="51.0" customHeight="1">
      <c r="A220" s="31" t="str">
        <f>HYPERLINK("https://drive.google.com/file/d/1dutP9VXI02hClZrHiJxQl5Uj_SmX-p5A/view?usp=sharing","2008-14")</f>
        <v>2008-14</v>
      </c>
      <c r="B220" s="32" t="str">
        <f>HYPERLINK("https://drive.google.com/file/d/1dutP9VXI02hClZrHiJxQl5Uj_SmX-p5A/view?usp=sharing","A IMPORTÂNCIA DO PADRÃO-OURO NA ESTABILIZAÇÃO DOS PREÇOS NO SISTEMA MONETÁRIO INTERNACIONAL NO PERÍODO DE 1870-1914")</f>
        <v>A IMPORTÂNCIA DO PADRÃO-OURO NA ESTABILIZAÇÃO DOS PREÇOS NO SISTEMA MONETÁRIO INTERNACIONAL NO PERÍODO DE 1870-1914</v>
      </c>
      <c r="C220" s="33" t="s">
        <v>252</v>
      </c>
      <c r="D220" s="33" t="s">
        <v>605</v>
      </c>
      <c r="E220" s="33" t="s">
        <v>606</v>
      </c>
      <c r="F220" s="33" t="s">
        <v>170</v>
      </c>
      <c r="G220" s="34">
        <v>39782.0</v>
      </c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30"/>
      <c r="T220" s="30"/>
      <c r="U220" s="30"/>
      <c r="V220" s="30"/>
      <c r="W220" s="30"/>
      <c r="X220" s="30"/>
      <c r="Y220" s="30"/>
      <c r="Z220" s="30"/>
    </row>
    <row r="221" ht="42.75" customHeight="1">
      <c r="A221" s="25" t="str">
        <f>HYPERLINK("https://drive.google.com/file/d/155RChv44cVNLsGnyFcw23tMgByENn3_6/view?usp=sharing","2008-15")</f>
        <v>2008-15</v>
      </c>
      <c r="B221" s="26" t="str">
        <f>HYPERLINK("https://drive.google.com/file/d/155RChv44cVNLsGnyFcw23tMgByENn3_6/view?usp=sharing","A TEORIA LIBERAL NO BRASIL: O PENSAMENTO DE EUGÊNIO GUDIN, ROBERTO CAMPOS E GUSTAVO FRANCO")</f>
        <v>A TEORIA LIBERAL NO BRASIL: O PENSAMENTO DE EUGÊNIO GUDIN, ROBERTO CAMPOS E GUSTAVO FRANCO</v>
      </c>
      <c r="C221" s="27" t="s">
        <v>159</v>
      </c>
      <c r="D221" s="27" t="s">
        <v>607</v>
      </c>
      <c r="E221" s="27" t="s">
        <v>608</v>
      </c>
      <c r="F221" s="27" t="s">
        <v>162</v>
      </c>
      <c r="G221" s="28">
        <v>39679.0</v>
      </c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30"/>
      <c r="T221" s="30"/>
      <c r="U221" s="30"/>
      <c r="V221" s="30"/>
      <c r="W221" s="30"/>
      <c r="X221" s="30"/>
      <c r="Y221" s="30"/>
      <c r="Z221" s="30"/>
    </row>
    <row r="222" ht="38.25" customHeight="1">
      <c r="A222" s="31" t="str">
        <f>HYPERLINK("https://drive.google.com/file/d/1rJ0mrlLm2_mr0u8YB8oqeedUZCpHvdtr/view?usp=sharing","2008-16")</f>
        <v>2008-16</v>
      </c>
      <c r="B222" s="32" t="str">
        <f>HYPERLINK("https://drive.google.com/file/d/1rJ0mrlLm2_mr0u8YB8oqeedUZCpHvdtr/view?usp=sharing","ANÁLISE DAS POUSADAS COMO MEIO DE HOSPEDAGEM NA ZONA SUL DO MUNICÍPIO DE ILHÉUS – BAHIA")</f>
        <v>ANÁLISE DAS POUSADAS COMO MEIO DE HOSPEDAGEM NA ZONA SUL DO MUNICÍPIO DE ILHÉUS – BAHIA</v>
      </c>
      <c r="C222" s="33" t="s">
        <v>33</v>
      </c>
      <c r="D222" s="33" t="s">
        <v>609</v>
      </c>
      <c r="E222" s="33" t="s">
        <v>610</v>
      </c>
      <c r="F222" s="33" t="s">
        <v>356</v>
      </c>
      <c r="G222" s="34">
        <v>39696.0</v>
      </c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30"/>
      <c r="T222" s="30"/>
      <c r="U222" s="30"/>
      <c r="V222" s="30"/>
      <c r="W222" s="30"/>
      <c r="X222" s="30"/>
      <c r="Y222" s="30"/>
      <c r="Z222" s="30"/>
    </row>
    <row r="223" ht="42.75" customHeight="1">
      <c r="A223" s="25" t="str">
        <f>HYPERLINK("https://drive.google.com/file/d/1r3auVEY1uldxb1wMD1NZfbT0VtmBqfGL/view?usp=sharing","2008-17")</f>
        <v>2008-17</v>
      </c>
      <c r="B223" s="26" t="str">
        <f>HYPERLINK("https://drive.google.com/file/d/1r3auVEY1uldxb1wMD1NZfbT0VtmBqfGL/view?usp=sharing","PERCEPÇÃO DO USUÁRIO SOBRE O SERVIÇO DE TRANSPORTE PÚBLICO URBANO NA CIDADE DE ILHÉUS-BAHIA, ANO DE 2007")</f>
        <v>PERCEPÇÃO DO USUÁRIO SOBRE O SERVIÇO DE TRANSPORTE PÚBLICO URBANO NA CIDADE DE ILHÉUS-BAHIA, ANO DE 2007</v>
      </c>
      <c r="C223" s="27" t="s">
        <v>111</v>
      </c>
      <c r="D223" s="27" t="s">
        <v>611</v>
      </c>
      <c r="E223" s="27" t="s">
        <v>612</v>
      </c>
      <c r="F223" s="27" t="s">
        <v>613</v>
      </c>
      <c r="G223" s="28">
        <v>39468.0</v>
      </c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30"/>
      <c r="T223" s="30"/>
      <c r="U223" s="30"/>
      <c r="V223" s="30"/>
      <c r="W223" s="30"/>
      <c r="X223" s="30"/>
      <c r="Y223" s="30"/>
      <c r="Z223" s="30"/>
    </row>
    <row r="224" ht="38.25" customHeight="1">
      <c r="A224" s="31" t="str">
        <f>HYPERLINK("https://drive.google.com/file/d/1C_CTvvFmOLF0NsHRTUcoX1wb-7xewZ_F/view?usp=sharing","2008-18")</f>
        <v>2008-18</v>
      </c>
      <c r="B224" s="32" t="str">
        <f>HYPERLINK("https://drive.google.com/file/d/1C_CTvvFmOLF0NsHRTUcoX1wb-7xewZ_F/view?usp=sharing","ORÇAMENTO PARTICIPATIVO (OP): UMA CONTRIBUIÇÃO AO DEBATE NO MUNICÍPIO DE ITABUNA")</f>
        <v>ORÇAMENTO PARTICIPATIVO (OP): UMA CONTRIBUIÇÃO AO DEBATE NO MUNICÍPIO DE ITABUNA</v>
      </c>
      <c r="C224" s="33" t="s">
        <v>23</v>
      </c>
      <c r="D224" s="33" t="s">
        <v>614</v>
      </c>
      <c r="E224" s="33" t="s">
        <v>615</v>
      </c>
      <c r="F224" s="33" t="s">
        <v>184</v>
      </c>
      <c r="G224" s="34">
        <v>39782.0</v>
      </c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30"/>
      <c r="T224" s="30"/>
      <c r="U224" s="30"/>
      <c r="V224" s="30"/>
      <c r="W224" s="30"/>
      <c r="X224" s="30"/>
      <c r="Y224" s="30"/>
      <c r="Z224" s="30"/>
    </row>
    <row r="225" ht="51.0" customHeight="1">
      <c r="A225" s="25" t="str">
        <f>HYPERLINK("https://drive.google.com/file/d/1voWB-_2W8Io2Y80JWQtqh3yBBDRxsJRP/view?usp=sharing","2008-19")</f>
        <v>2008-19</v>
      </c>
      <c r="B225" s="26" t="str">
        <f>HYPERLINK("https://drive.google.com/file/d/1voWB-_2W8Io2Y80JWQtqh3yBBDRxsJRP/view?usp=sharing","MÃO-DE-OBRA OCUPADA NOS MEIOS DE HOSPEDAGEM: UMA ANÁLISE DESCRITIVA PARA O MUNICÍPIO DE ITUBERÁ – BAHIA, EM 2007")</f>
        <v>MÃO-DE-OBRA OCUPADA NOS MEIOS DE HOSPEDAGEM: UMA ANÁLISE DESCRITIVA PARA O MUNICÍPIO DE ITUBERÁ – BAHIA, EM 2007</v>
      </c>
      <c r="C225" s="27" t="s">
        <v>33</v>
      </c>
      <c r="D225" s="27" t="s">
        <v>616</v>
      </c>
      <c r="E225" s="27" t="s">
        <v>617</v>
      </c>
      <c r="F225" s="27" t="s">
        <v>36</v>
      </c>
      <c r="G225" s="28">
        <v>39464.0</v>
      </c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30"/>
      <c r="T225" s="30"/>
      <c r="U225" s="30"/>
      <c r="V225" s="30"/>
      <c r="W225" s="30"/>
      <c r="X225" s="30"/>
      <c r="Y225" s="30"/>
      <c r="Z225" s="30"/>
    </row>
    <row r="226" ht="76.5" customHeight="1">
      <c r="A226" s="31" t="str">
        <f>HYPERLINK("https://drive.google.com/file/d/1TXloCvL6Bz3XI66bmKTnfLpndaEX3Kcb/view?usp=sharing","2008-20")</f>
        <v>2008-20</v>
      </c>
      <c r="B226" s="32" t="str">
        <f>HYPERLINK("https://drive.google.com/file/d/1TXloCvL6Bz3XI66bmKTnfLpndaEX3Kcb/view?usp=sharing","PERFIL AMBIENTAL DA MATA CILIAR NA BACIA HIDROGRÁFICA DO RIO CACHOEIRA NO MUNICÍPIO DE ITAPÉ: SUSTENTABILIDADE AMBIENTAL, E OPORTUNIDADE DE RECUPERAÇÃO NUMA ABORDAGEM ECONÔMICA. ")</f>
        <v>PERFIL AMBIENTAL DA MATA CILIAR NA BACIA HIDROGRÁFICA DO RIO CACHOEIRA NO MUNICÍPIO DE ITAPÉ: SUSTENTABILIDADE AMBIENTAL, E OPORTUNIDADE DE RECUPERAÇÃO NUMA ABORDAGEM ECONÔMICA. </v>
      </c>
      <c r="C226" s="33" t="s">
        <v>43</v>
      </c>
      <c r="D226" s="33" t="s">
        <v>618</v>
      </c>
      <c r="E226" s="33" t="s">
        <v>619</v>
      </c>
      <c r="F226" s="33" t="s">
        <v>620</v>
      </c>
      <c r="G226" s="34">
        <v>39512.0</v>
      </c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30"/>
      <c r="T226" s="30"/>
      <c r="U226" s="30"/>
      <c r="V226" s="30"/>
      <c r="W226" s="30"/>
      <c r="X226" s="30"/>
      <c r="Y226" s="30"/>
      <c r="Z226" s="30"/>
    </row>
    <row r="227" ht="51.0" customHeight="1">
      <c r="A227" s="25" t="str">
        <f>HYPERLINK("https://drive.google.com/file/d/1B0-D0xWwEl101tIhVd4xEZQnuubfjYvi/view?usp=sharing","2008-21")</f>
        <v>2008-21</v>
      </c>
      <c r="B227" s="26" t="str">
        <f>HYPERLINK("https://drive.google.com/file/d/1B0-D0xWwEl101tIhVd4xEZQnuubfjYvi/view?usp=sharing","AS ANÁLISES FINANCEIRAS EM UMA EMPRESA APÓS O PROGRAMA DE ESTABILIZAÇÃO ECONÔMICA “PLANO REAL”: ESTUDO DE CASO DA EMPRESA CAMBUCI S/A")</f>
        <v>AS ANÁLISES FINANCEIRAS EM UMA EMPRESA APÓS O PROGRAMA DE ESTABILIZAÇÃO ECONÔMICA “PLANO REAL”: ESTUDO DE CASO DA EMPRESA CAMBUCI S/A</v>
      </c>
      <c r="C227" s="27" t="s">
        <v>70</v>
      </c>
      <c r="D227" s="27" t="s">
        <v>621</v>
      </c>
      <c r="E227" s="27" t="s">
        <v>622</v>
      </c>
      <c r="F227" s="27" t="s">
        <v>623</v>
      </c>
      <c r="G227" s="28">
        <v>39701.0</v>
      </c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30"/>
      <c r="T227" s="30"/>
      <c r="U227" s="30"/>
      <c r="V227" s="30"/>
      <c r="W227" s="30"/>
      <c r="X227" s="30"/>
      <c r="Y227" s="30"/>
      <c r="Z227" s="30"/>
    </row>
    <row r="228" ht="42.75" customHeight="1">
      <c r="A228" s="31" t="str">
        <f>HYPERLINK("https://drive.google.com/file/d/13IF57C8UKMYt7GNpipB46S__ziwYBQhL/view?usp=sharing","2008-22")</f>
        <v>2008-22</v>
      </c>
      <c r="B228" s="32" t="str">
        <f>HYPERLINK("https://drive.google.com/file/d/13IF57C8UKMYt7GNpipB46S__ziwYBQhL/view?usp=sharing","A INFLUÊNCIA DO INVESTIMENTO EXTERNO DIRETO (IED) SOBRE O BALANÇO DE PAGAMENTOS BRASILEIRO DE 2002 A 2007")</f>
        <v>A INFLUÊNCIA DO INVESTIMENTO EXTERNO DIRETO (IED) SOBRE O BALANÇO DE PAGAMENTOS BRASILEIRO DE 2002 A 2007</v>
      </c>
      <c r="C228" s="33" t="s">
        <v>252</v>
      </c>
      <c r="D228" s="33" t="s">
        <v>624</v>
      </c>
      <c r="E228" s="33" t="s">
        <v>625</v>
      </c>
      <c r="F228" s="33" t="s">
        <v>170</v>
      </c>
      <c r="G228" s="34">
        <v>39782.0</v>
      </c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30"/>
      <c r="T228" s="30"/>
      <c r="U228" s="30"/>
      <c r="V228" s="30"/>
      <c r="W228" s="30"/>
      <c r="X228" s="30"/>
      <c r="Y228" s="30"/>
      <c r="Z228" s="30"/>
    </row>
    <row r="229" ht="71.25" customHeight="1">
      <c r="A229" s="25" t="str">
        <f>HYPERLINK("https://drive.google.com/file/d/1UBpcT6OtH929wjy2TskCObMqPI1AStqz/view?usp=sharing","2008-23")</f>
        <v>2008-23</v>
      </c>
      <c r="B229" s="26" t="str">
        <f>HYPERLINK("https://drive.google.com/file/d/1UBpcT6OtH929wjy2TskCObMqPI1AStqz/view?usp=sharing","ANÁLISE DO RISCO DE CRÉDITO NO BANCO DO POVO, ITABUNA/BAHIA: COMPORTAMENTOS DOS DETERMINANTES INTRÍNSECOS NO AUMENTO DE INADIMPLÊNCIA NA ATIVIDADE DO MICROCRÉDITO.")</f>
        <v>ANÁLISE DO RISCO DE CRÉDITO NO BANCO DO POVO, ITABUNA/BAHIA: COMPORTAMENTOS DOS DETERMINANTES INTRÍNSECOS NO AUMENTO DE INADIMPLÊNCIA NA ATIVIDADE DO MICROCRÉDITO.</v>
      </c>
      <c r="C229" s="27" t="s">
        <v>28</v>
      </c>
      <c r="D229" s="27" t="s">
        <v>626</v>
      </c>
      <c r="E229" s="27" t="s">
        <v>627</v>
      </c>
      <c r="F229" s="27" t="s">
        <v>184</v>
      </c>
      <c r="G229" s="28">
        <v>39839.0</v>
      </c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30"/>
      <c r="T229" s="30"/>
      <c r="U229" s="30"/>
      <c r="V229" s="30"/>
      <c r="W229" s="30"/>
      <c r="X229" s="30"/>
      <c r="Y229" s="30"/>
      <c r="Z229" s="30"/>
    </row>
    <row r="230" ht="38.25" customHeight="1">
      <c r="A230" s="31" t="str">
        <f>HYPERLINK("https://drive.google.com/file/d/1sZK1gmNkNRnv9Ocl4D1KBcGbAaEpF5Gb/view?usp=sharing","2008-24")</f>
        <v>2008-24</v>
      </c>
      <c r="B230" s="32" t="str">
        <f>HYPERLINK("https://drive.google.com/file/d/1sZK1gmNkNRnv9Ocl4D1KBcGbAaEpF5Gb/view?usp=sharing","QUALIFICAÇÃO DA MÃO-DE-OBRA E NÍVEL DE SATISFAÇÃO DO CLIENTE: O CASO DO JEQUITIBÁ PLAZA SHOPPING, ITABUNA-BAHIA")</f>
        <v>QUALIFICAÇÃO DA MÃO-DE-OBRA E NÍVEL DE SATISFAÇÃO DO CLIENTE: O CASO DO JEQUITIBÁ PLAZA SHOPPING, ITABUNA-BAHIA</v>
      </c>
      <c r="C230" s="33" t="s">
        <v>111</v>
      </c>
      <c r="D230" s="33" t="s">
        <v>628</v>
      </c>
      <c r="E230" s="33" t="s">
        <v>629</v>
      </c>
      <c r="F230" s="33" t="s">
        <v>399</v>
      </c>
      <c r="G230" s="34">
        <v>39499.0</v>
      </c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30"/>
      <c r="T230" s="30"/>
      <c r="U230" s="30"/>
      <c r="V230" s="30"/>
      <c r="W230" s="30"/>
      <c r="X230" s="30"/>
      <c r="Y230" s="30"/>
      <c r="Z230" s="30"/>
    </row>
    <row r="231" ht="42.75" customHeight="1">
      <c r="A231" s="25" t="str">
        <f>HYPERLINK("https://drive.google.com/file/d/1dtea1Hd3z-DrZfAhzTf0rKR1j-TLWoVv/view?usp=sharing","2008-25")</f>
        <v>2008-25</v>
      </c>
      <c r="B231" s="26" t="str">
        <f>HYPERLINK("https://drive.google.com/file/d/1dtea1Hd3z-DrZfAhzTf0rKR1j-TLWoVv/view?usp=sharing","UM ESTUDO SOBRE A IMPLEMENTAÇÃO DO MICROCRÉDITO NO BRASIL NO PERÍODO DE 1994 A 2006.")</f>
        <v>UM ESTUDO SOBRE A IMPLEMENTAÇÃO DO MICROCRÉDITO NO BRASIL NO PERÍODO DE 1994 A 2006.</v>
      </c>
      <c r="C231" s="27" t="s">
        <v>13</v>
      </c>
      <c r="D231" s="27" t="s">
        <v>630</v>
      </c>
      <c r="E231" s="27" t="s">
        <v>631</v>
      </c>
      <c r="F231" s="27" t="s">
        <v>147</v>
      </c>
      <c r="G231" s="28">
        <v>39848.0</v>
      </c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30"/>
      <c r="T231" s="30"/>
      <c r="U231" s="30"/>
      <c r="V231" s="30"/>
      <c r="W231" s="30"/>
      <c r="X231" s="30"/>
      <c r="Y231" s="30"/>
      <c r="Z231" s="30"/>
    </row>
    <row r="232" ht="38.25" customHeight="1">
      <c r="A232" s="31" t="str">
        <f>HYPERLINK("https://drive.google.com/file/d/1UTpIiAZnNK3s-liHnvFl3BJWPic0l9Rk/view?usp=sharing","2008-26")</f>
        <v>2008-26</v>
      </c>
      <c r="B232" s="32" t="str">
        <f>HYPERLINK("https://drive.google.com/file/d/1UTpIiAZnNK3s-liHnvFl3BJWPic0l9Rk/view?usp=sharing","ANÁLISE SOCIOECONÔMICA E AMBIENTAL DO FLUXO DE RESÍDUOS SÓLIDOS EM ITABUNA - BAHIA")</f>
        <v>ANÁLISE SOCIOECONÔMICA E AMBIENTAL DO FLUXO DE RESÍDUOS SÓLIDOS EM ITABUNA - BAHIA</v>
      </c>
      <c r="C232" s="33" t="s">
        <v>43</v>
      </c>
      <c r="D232" s="33" t="s">
        <v>632</v>
      </c>
      <c r="E232" s="33" t="s">
        <v>633</v>
      </c>
      <c r="F232" s="33" t="s">
        <v>447</v>
      </c>
      <c r="G232" s="34">
        <v>39696.0</v>
      </c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30"/>
      <c r="T232" s="30"/>
      <c r="U232" s="30"/>
      <c r="V232" s="30"/>
      <c r="W232" s="30"/>
      <c r="X232" s="30"/>
      <c r="Y232" s="30"/>
      <c r="Z232" s="30"/>
    </row>
    <row r="233" ht="57.0" customHeight="1">
      <c r="A233" s="25" t="str">
        <f>HYPERLINK("https://drive.google.com/file/d/1iymMEOjG9jG1hwPUSKVHO4kcHCuCzlmm/view?usp=sharing","2008-27")</f>
        <v>2008-27</v>
      </c>
      <c r="B233" s="26" t="str">
        <f>HYPERLINK("https://drive.google.com/file/d/1iymMEOjG9jG1hwPUSKVHO4kcHCuCzlmm/view?usp=sharing","UMA ANÁLISE DA PARTICIPAÇÃO DAS ENERGIAS RENOVÁVEIS NA COMPOSIÇÃO DA MATRIZ ENERGÉTICA BRASILEIRA DE 1992 A 2006")</f>
        <v>UMA ANÁLISE DA PARTICIPAÇÃO DAS ENERGIAS RENOVÁVEIS NA COMPOSIÇÃO DA MATRIZ ENERGÉTICA BRASILEIRA DE 1992 A 2006</v>
      </c>
      <c r="C233" s="27" t="s">
        <v>43</v>
      </c>
      <c r="D233" s="27" t="s">
        <v>634</v>
      </c>
      <c r="E233" s="27" t="s">
        <v>635</v>
      </c>
      <c r="F233" s="27" t="s">
        <v>16</v>
      </c>
      <c r="G233" s="28">
        <v>39703.0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30"/>
      <c r="T233" s="30"/>
      <c r="U233" s="30"/>
      <c r="V233" s="30"/>
      <c r="W233" s="30"/>
      <c r="X233" s="30"/>
      <c r="Y233" s="30"/>
      <c r="Z233" s="30"/>
    </row>
    <row r="234" ht="42.75" customHeight="1">
      <c r="A234" s="31" t="str">
        <f>HYPERLINK("https://drive.google.com/file/d/1OuKGb71ItmT8oBzSp6Ioq7N_ZldP66_U/view?usp=sharing","2008-28")</f>
        <v>2008-28</v>
      </c>
      <c r="B234" s="32" t="str">
        <f>HYPERLINK("https://drive.google.com/file/d/1OuKGb71ItmT8oBzSp6Ioq7N_ZldP66_U/view?usp=sharing","AS ESTRATÉGIAS DE MARKENTING DOS MEIOS DE HOSPEDAGEM DO MUNICÍPIO DE ILHÉUS-BAHIA EM 2007")</f>
        <v>AS ESTRATÉGIAS DE MARKENTING DOS MEIOS DE HOSPEDAGEM DO MUNICÍPIO DE ILHÉUS-BAHIA EM 2007</v>
      </c>
      <c r="C234" s="33" t="s">
        <v>33</v>
      </c>
      <c r="D234" s="33" t="s">
        <v>636</v>
      </c>
      <c r="E234" s="33" t="s">
        <v>637</v>
      </c>
      <c r="F234" s="33" t="s">
        <v>68</v>
      </c>
      <c r="G234" s="34">
        <v>39703.0</v>
      </c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30"/>
      <c r="T234" s="30"/>
      <c r="U234" s="30"/>
      <c r="V234" s="30"/>
      <c r="W234" s="30"/>
      <c r="X234" s="30"/>
      <c r="Y234" s="30"/>
      <c r="Z234" s="30"/>
    </row>
    <row r="235" ht="51.0" customHeight="1">
      <c r="A235" s="25" t="str">
        <f>HYPERLINK("https://drive.google.com/file/d/10w7iYtA27yD5XVhzc9zDVhgdFrJb9Lbe/view?usp=sharing","2008-29")</f>
        <v>2008-29</v>
      </c>
      <c r="B235" s="26" t="str">
        <f>HYPERLINK("https://drive.google.com/file/d/10w7iYtA27yD5XVhzc9zDVhgdFrJb9Lbe/view?usp=sharing","DIAGNÓSTICO DOS EMPREENDEDORES E DOS EMPREENDIMENTOS NAS PRAIAS DO MUNICÍPIO DE ILHÉUS-BA: comparativo das cabanas das prais do Sul e do Norte")</f>
        <v>DIAGNÓSTICO DOS EMPREENDEDORES E DOS EMPREENDIMENTOS NAS PRAIAS DO MUNICÍPIO DE ILHÉUS-BA: comparativo das cabanas das prais do Sul e do Norte</v>
      </c>
      <c r="C235" s="27" t="s">
        <v>33</v>
      </c>
      <c r="D235" s="27" t="s">
        <v>638</v>
      </c>
      <c r="E235" s="27" t="s">
        <v>639</v>
      </c>
      <c r="F235" s="27" t="s">
        <v>64</v>
      </c>
      <c r="G235" s="35">
        <v>2009.0</v>
      </c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30"/>
      <c r="T235" s="30"/>
      <c r="U235" s="30"/>
      <c r="V235" s="30"/>
      <c r="W235" s="30"/>
      <c r="X235" s="30"/>
      <c r="Y235" s="30"/>
      <c r="Z235" s="30"/>
    </row>
    <row r="236" ht="42.75" customHeight="1">
      <c r="A236" s="31" t="str">
        <f>HYPERLINK("https://drive.google.com/file/d/1PCbcGGqbwpHWjTKwG3vH7BqxJmcMzQ9L/view?usp=sharing","2008-30")</f>
        <v>2008-30</v>
      </c>
      <c r="B236" s="32" t="str">
        <f>HYPERLINK("https://drive.google.com/file/d/1PCbcGGqbwpHWjTKwG3vH7BqxJmcMzQ9L/view?usp=sharing","TURISMO RECEPTIVO INTERNACIONAL NO BRASIL: uma análise comparativa entre os anos de 2000 e 2005")</f>
        <v>TURISMO RECEPTIVO INTERNACIONAL NO BRASIL: uma análise comparativa entre os anos de 2000 e 2005</v>
      </c>
      <c r="C236" s="33" t="s">
        <v>33</v>
      </c>
      <c r="D236" s="33" t="s">
        <v>640</v>
      </c>
      <c r="E236" s="33" t="s">
        <v>641</v>
      </c>
      <c r="F236" s="33" t="s">
        <v>36</v>
      </c>
      <c r="G236" s="34">
        <v>39701.0</v>
      </c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30"/>
      <c r="T236" s="30"/>
      <c r="U236" s="30"/>
      <c r="V236" s="30"/>
      <c r="W236" s="30"/>
      <c r="X236" s="30"/>
      <c r="Y236" s="30"/>
      <c r="Z236" s="30"/>
    </row>
    <row r="237" ht="38.25" customHeight="1">
      <c r="A237" s="25" t="str">
        <f>HYPERLINK("https://drive.google.com/file/d/15y9iZY8mxzpZTbIcZm2aQISu34saKpCc/view?usp=sharing","2008-31")</f>
        <v>2008-31</v>
      </c>
      <c r="B237" s="26" t="str">
        <f>HYPERLINK("https://drive.google.com/file/d/15y9iZY8mxzpZTbIcZm2aQISu34saKpCc/view?usp=sharing","ANÁLISE DO PADRÃO DE VIDA DOS SERVIDORES DA ESFERA MUNICIPAL DO SETOR DE EDUCAÇÃO DE URUÇUCA-BAHIA ")</f>
        <v>ANÁLISE DO PADRÃO DE VIDA DOS SERVIDORES DA ESFERA MUNICIPAL DO SETOR DE EDUCAÇÃO DE URUÇUCA-BAHIA </v>
      </c>
      <c r="C237" s="27" t="s">
        <v>23</v>
      </c>
      <c r="D237" s="27" t="s">
        <v>642</v>
      </c>
      <c r="E237" s="27" t="s">
        <v>643</v>
      </c>
      <c r="F237" s="27" t="s">
        <v>399</v>
      </c>
      <c r="G237" s="28">
        <v>39491.0</v>
      </c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30"/>
      <c r="T237" s="30"/>
      <c r="U237" s="30"/>
      <c r="V237" s="30"/>
      <c r="W237" s="30"/>
      <c r="X237" s="30"/>
      <c r="Y237" s="30"/>
      <c r="Z237" s="30"/>
    </row>
    <row r="238" ht="38.25" customHeight="1">
      <c r="A238" s="31" t="str">
        <f>HYPERLINK("https://drive.google.com/file/d/17Y5QLHskE9DnAzzcTExTYr3ZjLQmEtyR/view?usp=sharing","2008-32")</f>
        <v>2008-32</v>
      </c>
      <c r="B238" s="32" t="str">
        <f>HYPERLINK("https://drive.google.com/file/d/17Y5QLHskE9DnAzzcTExTYr3ZjLQmEtyR/view?usp=sharing","A TERCERIZAÇÃO DA MÃO-DE-OBRA NAS EMPRESAS DE GRANDE PORTE EM ITABUNA: UMA RELAÇÃO ENTRE CAPITAL E TRABALHO")</f>
        <v>A TERCERIZAÇÃO DA MÃO-DE-OBRA NAS EMPRESAS DE GRANDE PORTE EM ITABUNA: UMA RELAÇÃO ENTRE CAPITAL E TRABALHO</v>
      </c>
      <c r="C238" s="33" t="s">
        <v>111</v>
      </c>
      <c r="D238" s="33" t="s">
        <v>644</v>
      </c>
      <c r="E238" s="33" t="s">
        <v>645</v>
      </c>
      <c r="F238" s="33" t="s">
        <v>31</v>
      </c>
      <c r="G238" s="34">
        <v>39681.0</v>
      </c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30"/>
      <c r="T238" s="30"/>
      <c r="U238" s="30"/>
      <c r="V238" s="30"/>
      <c r="W238" s="30"/>
      <c r="X238" s="30"/>
      <c r="Y238" s="30"/>
      <c r="Z238" s="30"/>
    </row>
    <row r="239" ht="42.75" customHeight="1">
      <c r="A239" s="25" t="str">
        <f>HYPERLINK("https://drive.google.com/file/d/1Ho-FEBHUxFxgCDMMwveax_tqW48f2wjL/view?usp=sharing","2008-33")</f>
        <v>2008-33</v>
      </c>
      <c r="B239" s="26" t="str">
        <f>HYPERLINK("https://drive.google.com/file/d/1Ho-FEBHUxFxgCDMMwveax_tqW48f2wjL/view?usp=sharing","AINFLUÊNCIA DO ENDIVIDAMENTO EXTERNO, SOBRE O ""MILAGRE ECONÔMICO BRASILEIRO"" NO PERÍODO DE 1968 A 1973")</f>
        <v>AINFLUÊNCIA DO ENDIVIDAMENTO EXTERNO, SOBRE O "MILAGRE ECONÔMICO BRASILEIRO" NO PERÍODO DE 1968 A 1973</v>
      </c>
      <c r="C239" s="27" t="s">
        <v>167</v>
      </c>
      <c r="D239" s="27" t="s">
        <v>646</v>
      </c>
      <c r="E239" s="27" t="s">
        <v>647</v>
      </c>
      <c r="F239" s="27" t="s">
        <v>620</v>
      </c>
      <c r="G239" s="28">
        <v>39482.0</v>
      </c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30"/>
      <c r="T239" s="30"/>
      <c r="U239" s="30"/>
      <c r="V239" s="30"/>
      <c r="W239" s="30"/>
      <c r="X239" s="30"/>
      <c r="Y239" s="30"/>
      <c r="Z239" s="30"/>
    </row>
    <row r="240" ht="42.75" customHeight="1">
      <c r="A240" s="31" t="str">
        <f>HYPERLINK("https://drive.google.com/file/d/1GMwFqMgWOtOWLMC-W3qjOo91lNbM_85-/view?usp=sharing","2008-34")</f>
        <v>2008-34</v>
      </c>
      <c r="B240" s="32" t="str">
        <f>HYPERLINK("https://drive.google.com/file/d/1GMwFqMgWOtOWLMC-W3qjOo91lNbM_85-/view?usp=sharing","INVESTIMENTO ESTATAL NA PROMOÇÃO DO DESENVOLVIMENTO ECONÔMICO: VISÕES KEYNESIANA E CEPALINA")</f>
        <v>INVESTIMENTO ESTATAL NA PROMOÇÃO DO DESENVOLVIMENTO ECONÔMICO: VISÕES KEYNESIANA E CEPALINA</v>
      </c>
      <c r="C240" s="33" t="s">
        <v>61</v>
      </c>
      <c r="D240" s="33" t="s">
        <v>648</v>
      </c>
      <c r="E240" s="33" t="s">
        <v>649</v>
      </c>
      <c r="F240" s="33" t="s">
        <v>613</v>
      </c>
      <c r="G240" s="34">
        <v>39454.0</v>
      </c>
      <c r="H240" s="30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30"/>
      <c r="T240" s="30"/>
      <c r="U240" s="30"/>
      <c r="V240" s="30"/>
      <c r="W240" s="30"/>
      <c r="X240" s="30"/>
      <c r="Y240" s="30"/>
      <c r="Z240" s="30"/>
    </row>
    <row r="241" ht="42.75" customHeight="1">
      <c r="A241" s="25" t="str">
        <f>HYPERLINK("https://drive.google.com/file/d/1uPB4qp3gpsy6-RNJQTUxuNPQhHMV-RQ_/view?usp=sharing","2008-35")</f>
        <v>2008-35</v>
      </c>
      <c r="B241" s="26" t="str">
        <f>HYPERLINK("https://drive.google.com/file/d/1uPB4qp3gpsy6-RNJQTUxuNPQhHMV-RQ_/view?usp=sharing","ANÁLISE DO VALOR REAL DO CUSTO DA ÁGUA TRATADA PRODUZIDA NO MUNICÍPIO DE URUÇUCA NO ANO DE 2007")</f>
        <v>ANÁLISE DO VALOR REAL DO CUSTO DA ÁGUA TRATADA PRODUZIDA NO MUNICÍPIO DE URUÇUCA NO ANO DE 2007</v>
      </c>
      <c r="C241" s="27" t="s">
        <v>116</v>
      </c>
      <c r="D241" s="27" t="s">
        <v>650</v>
      </c>
      <c r="E241" s="27" t="s">
        <v>651</v>
      </c>
      <c r="F241" s="27" t="s">
        <v>356</v>
      </c>
      <c r="G241" s="28">
        <v>39883.0</v>
      </c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30"/>
      <c r="T241" s="30"/>
      <c r="U241" s="30"/>
      <c r="V241" s="30"/>
      <c r="W241" s="30"/>
      <c r="X241" s="30"/>
      <c r="Y241" s="30"/>
      <c r="Z241" s="30"/>
    </row>
    <row r="242" ht="63.75" customHeight="1">
      <c r="A242" s="31" t="str">
        <f>HYPERLINK("https://drive.google.com/file/d/1bsRmxaJXL4jzI2v_t7pogbMl75TOGp_L/view?usp=sharing","2008-36")</f>
        <v>2008-36</v>
      </c>
      <c r="B242" s="32" t="str">
        <f>HYPERLINK("https://drive.google.com/file/d/1bsRmxaJXL4jzI2v_t7pogbMl75TOGp_L/view?usp=sharing","O PESO DOS ENCARGOS SOCIAIS NO MERCADO DE TRABALHO DO COMÉRCIO DE ITABUNA EM 2006: UMA ANÁLISE PELA INTERPRETAÇÃO DO DIEESE DO SETOR EMPRESARIAL")</f>
        <v>O PESO DOS ENCARGOS SOCIAIS NO MERCADO DE TRABALHO DO COMÉRCIO DE ITABUNA EM 2006: UMA ANÁLISE PELA INTERPRETAÇÃO DO DIEESE DO SETOR EMPRESARIAL</v>
      </c>
      <c r="C242" s="33" t="s">
        <v>18</v>
      </c>
      <c r="D242" s="33" t="s">
        <v>652</v>
      </c>
      <c r="E242" s="33" t="s">
        <v>653</v>
      </c>
      <c r="F242" s="33" t="s">
        <v>356</v>
      </c>
      <c r="G242" s="34">
        <v>39702.0</v>
      </c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30"/>
      <c r="T242" s="30"/>
      <c r="U242" s="30"/>
      <c r="V242" s="30"/>
      <c r="W242" s="30"/>
      <c r="X242" s="30"/>
      <c r="Y242" s="30"/>
      <c r="Z242" s="30"/>
    </row>
    <row r="243" ht="42.75" customHeight="1">
      <c r="A243" s="25" t="str">
        <f>HYPERLINK("https://drive.google.com/file/d/1flc9PaOyxTR7m2y9L0NraJIiZR26xh4U/view?usp=sharing","2008-37")</f>
        <v>2008-37</v>
      </c>
      <c r="B243" s="26" t="str">
        <f>HYPERLINK("https://drive.google.com/file/d/1flc9PaOyxTR7m2y9L0NraJIiZR26xh4U/view?usp=sharing","A PERCEPÇÃO DAS EMPRESAS SOBRE GESTÃO AMBIENTAL, NO ESTADO DA BAHIA, EM 2004")</f>
        <v>A PERCEPÇÃO DAS EMPRESAS SOBRE GESTÃO AMBIENTAL, NO ESTADO DA BAHIA, EM 2004</v>
      </c>
      <c r="C243" s="27" t="s">
        <v>43</v>
      </c>
      <c r="D243" s="27" t="s">
        <v>654</v>
      </c>
      <c r="E243" s="27" t="s">
        <v>655</v>
      </c>
      <c r="F243" s="27" t="s">
        <v>620</v>
      </c>
      <c r="G243" s="28">
        <v>39621.0</v>
      </c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30"/>
      <c r="T243" s="30"/>
      <c r="U243" s="30"/>
      <c r="V243" s="30"/>
      <c r="W243" s="30"/>
      <c r="X243" s="30"/>
      <c r="Y243" s="30"/>
      <c r="Z243" s="30"/>
    </row>
    <row r="244" ht="38.25" customHeight="1">
      <c r="A244" s="46" t="str">
        <f>HYPERLINK("https://drive.google.com/file/d/18wuY7KO4M_azHB-Puv1ZuIQkVVKtiP-9/view?usp=sharing","2008-38")</f>
        <v>2008-38</v>
      </c>
      <c r="B244" s="32" t="str">
        <f>HYPERLINK("https://drive.google.com/file/d/18wuY7KO4M_azHB-Puv1ZuIQkVVKtiP-9/view?usp=sharing","A PARCERIA AGRÍCOLA: UM ESTUDO DE CASO SOBRE ESTA RELAÇÃO CAPITAL-TRABALHO, NA FAZENDA VITÓRIA - COARACI (BAHIA)")</f>
        <v>A PARCERIA AGRÍCOLA: UM ESTUDO DE CASO SOBRE ESTA RELAÇÃO CAPITAL-TRABALHO, NA FAZENDA VITÓRIA - COARACI (BAHIA)</v>
      </c>
      <c r="C244" s="33" t="s">
        <v>386</v>
      </c>
      <c r="D244" s="33" t="s">
        <v>656</v>
      </c>
      <c r="E244" s="33" t="s">
        <v>657</v>
      </c>
      <c r="F244" s="33" t="s">
        <v>658</v>
      </c>
      <c r="G244" s="34">
        <v>39477.0</v>
      </c>
      <c r="H244" s="47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28.5" customHeight="1">
      <c r="A245" s="25" t="str">
        <f>HYPERLINK("https://drive.google.com/file/d/1vfuV6JGtubGb2sRHGwpiOB7pmCn8Mxtn/view?usp=sharing","2008-39")</f>
        <v>2008-39</v>
      </c>
      <c r="B245" s="26" t="str">
        <f>HYPERLINK("https://drive.google.com/file/d/1vfuV6JGtubGb2sRHGwpiOB7pmCn8Mxtn/view?usp=sharing","UMA ABORDAGEM DA IMPORTÂNCIA DE CACAU EM AMÊNDOAS VIA DRAWBACK")</f>
        <v>UMA ABORDAGEM DA IMPORTÂNCIA DE CACAU EM AMÊNDOAS VIA DRAWBACK</v>
      </c>
      <c r="C245" s="27" t="s">
        <v>301</v>
      </c>
      <c r="D245" s="27" t="s">
        <v>659</v>
      </c>
      <c r="E245" s="27" t="s">
        <v>660</v>
      </c>
      <c r="F245" s="27" t="s">
        <v>572</v>
      </c>
      <c r="G245" s="28">
        <v>39782.0</v>
      </c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30"/>
      <c r="T245" s="30"/>
      <c r="U245" s="30"/>
      <c r="V245" s="30"/>
      <c r="W245" s="30"/>
      <c r="X245" s="30"/>
      <c r="Y245" s="30"/>
      <c r="Z245" s="30"/>
    </row>
    <row r="246" ht="42.75" customHeight="1">
      <c r="A246" s="31" t="str">
        <f>HYPERLINK("https://drive.google.com/file/d/1E3nCSY4VKiph9XWa_y9_TrWS-WSiZqCl/view?usp=sharing","2008-40")</f>
        <v>2008-40</v>
      </c>
      <c r="B246" s="32" t="str">
        <f>HYPERLINK("https://drive.google.com/file/d/1E3nCSY4VKiph9XWa_y9_TrWS-WSiZqCl/view?usp=sharing","ENFRENTAMENTO DO TRABALHO INFANTIL: ANÁLISE DO TRABALHO INFANTIL NA VILA OPERÁRIA DE BUERAREMA - BA")</f>
        <v>ENFRENTAMENTO DO TRABALHO INFANTIL: ANÁLISE DO TRABALHO INFANTIL NA VILA OPERÁRIA DE BUERAREMA - BA</v>
      </c>
      <c r="C246" s="33" t="s">
        <v>61</v>
      </c>
      <c r="D246" s="33" t="s">
        <v>661</v>
      </c>
      <c r="E246" s="33" t="s">
        <v>662</v>
      </c>
      <c r="F246" s="33" t="s">
        <v>68</v>
      </c>
      <c r="G246" s="34">
        <v>39878.0</v>
      </c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30"/>
      <c r="T246" s="30"/>
      <c r="U246" s="30"/>
      <c r="V246" s="30"/>
      <c r="W246" s="30"/>
      <c r="X246" s="30"/>
      <c r="Y246" s="30"/>
      <c r="Z246" s="30"/>
    </row>
    <row r="247" ht="38.25" customHeight="1">
      <c r="A247" s="25" t="str">
        <f>HYPERLINK("https://drive.google.com/file/d/13Azzs9KZRkyZvd-Zqe7QZxViXYSe2ZA1/view?usp=sharing","2008-41")</f>
        <v>2008-41</v>
      </c>
      <c r="B247" s="26" t="str">
        <f>HYPERLINK("https://drive.google.com/file/d/13Azzs9KZRkyZvd-Zqe7QZxViXYSe2ZA1/view?usp=sharing","ANÁLISE DA INTER-RELAÇÃO DOS MERCADOS DE AÇÚCAR E ÁLCOOL HIDRATADO COM O DE VEÍCULOS FLEX FUEL, 2003 A 2007")</f>
        <v>ANÁLISE DA INTER-RELAÇÃO DOS MERCADOS DE AÇÚCAR E ÁLCOOL HIDRATADO COM O DE VEÍCULOS FLEX FUEL, 2003 A 2007</v>
      </c>
      <c r="C247" s="27" t="s">
        <v>47</v>
      </c>
      <c r="D247" s="27" t="s">
        <v>663</v>
      </c>
      <c r="E247" s="27" t="s">
        <v>664</v>
      </c>
      <c r="F247" s="27" t="s">
        <v>447</v>
      </c>
      <c r="G247" s="28">
        <v>39496.0</v>
      </c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30"/>
      <c r="T247" s="30"/>
      <c r="U247" s="30"/>
      <c r="V247" s="30"/>
      <c r="W247" s="30"/>
      <c r="X247" s="30"/>
      <c r="Y247" s="30"/>
      <c r="Z247" s="30"/>
    </row>
    <row r="248" ht="28.5" customHeight="1">
      <c r="A248" s="31" t="str">
        <f>HYPERLINK("https://drive.google.com/file/d/1e7Q0LgvSkQPSMmfDQnqv8OeFAY5X8T5w/view?usp=sharing","2008-42")</f>
        <v>2008-42</v>
      </c>
      <c r="B248" s="32" t="str">
        <f>HYPERLINK("https://drive.google.com/file/d/1e7Q0LgvSkQPSMmfDQnqv8OeFAY5X8T5w/view?usp=sharing","ANÁLISE DOS DETERMINANTES DA DÍVIDA MOBILIÁRIA INTERNA NO PERÍODO 1999-2008")</f>
        <v>ANÁLISE DOS DETERMINANTES DA DÍVIDA MOBILIÁRIA INTERNA NO PERÍODO 1999-2008</v>
      </c>
      <c r="C248" s="33" t="s">
        <v>23</v>
      </c>
      <c r="D248" s="33" t="s">
        <v>665</v>
      </c>
      <c r="E248" s="33" t="s">
        <v>666</v>
      </c>
      <c r="F248" s="33" t="s">
        <v>447</v>
      </c>
      <c r="G248" s="34">
        <v>39703.0</v>
      </c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30"/>
      <c r="T248" s="30"/>
      <c r="U248" s="30"/>
      <c r="V248" s="30"/>
      <c r="W248" s="30"/>
      <c r="X248" s="30"/>
      <c r="Y248" s="30"/>
      <c r="Z248" s="30"/>
    </row>
    <row r="249" ht="38.25" customHeight="1">
      <c r="A249" s="25" t="str">
        <f>HYPERLINK("https://drive.google.com/file/d/1uA7r6Zm5Hh4UO-Xfkzqxkw_IQYv5FsUK/view?usp=sharing","2008-43")</f>
        <v>2008-43</v>
      </c>
      <c r="B249" s="26" t="str">
        <f>HYPERLINK("https://drive.google.com/file/d/1uA7r6Zm5Hh4UO-Xfkzqxkw_IQYv5FsUK/view?usp=sharing","A ECONOMIA INFORMAL EM ITABUNA: UMA ABORDAGEM SOBRE O TRABALHO  DOS FEIRANTES DO BAIRRO SÃO CAETANO.")</f>
        <v>A ECONOMIA INFORMAL EM ITABUNA: UMA ABORDAGEM SOBRE O TRABALHO  DOS FEIRANTES DO BAIRRO SÃO CAETANO.</v>
      </c>
      <c r="C249" s="27" t="s">
        <v>18</v>
      </c>
      <c r="D249" s="27" t="s">
        <v>667</v>
      </c>
      <c r="E249" s="27" t="s">
        <v>668</v>
      </c>
      <c r="F249" s="27" t="s">
        <v>184</v>
      </c>
      <c r="G249" s="28">
        <v>39878.0</v>
      </c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30"/>
      <c r="T249" s="30"/>
      <c r="U249" s="30"/>
      <c r="V249" s="30"/>
      <c r="W249" s="30"/>
      <c r="X249" s="30"/>
      <c r="Y249" s="30"/>
      <c r="Z249" s="30"/>
    </row>
    <row r="250" ht="42.75" customHeight="1">
      <c r="A250" s="31" t="str">
        <f>HYPERLINK("https://drive.google.com/file/d/1iHN-4HcIEz43Ki35978QaD2PJoe72dAn/view?usp=sharing","2008-44")</f>
        <v>2008-44</v>
      </c>
      <c r="B250" s="32" t="str">
        <f>HYPERLINK("https://drive.google.com/file/d/1iHN-4HcIEz43Ki35978QaD2PJoe72dAn/view?usp=sharing","COMPETITIVIDADE DO SETOR PRODUTIVO DE BORRACHA NATURAL NA BAHIA ")</f>
        <v>COMPETITIVIDADE DO SETOR PRODUTIVO DE BORRACHA NATURAL NA BAHIA </v>
      </c>
      <c r="C250" s="48" t="s">
        <v>669</v>
      </c>
      <c r="D250" s="33" t="s">
        <v>670</v>
      </c>
      <c r="E250" s="33" t="s">
        <v>671</v>
      </c>
      <c r="F250" s="33" t="s">
        <v>447</v>
      </c>
      <c r="G250" s="36">
        <v>2009.0</v>
      </c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30"/>
      <c r="T250" s="30"/>
      <c r="U250" s="30"/>
      <c r="V250" s="30"/>
      <c r="W250" s="30"/>
      <c r="X250" s="30"/>
      <c r="Y250" s="30"/>
      <c r="Z250" s="30"/>
    </row>
    <row r="251" ht="63.75" customHeight="1">
      <c r="A251" s="25" t="str">
        <f>HYPERLINK("https://drive.google.com/file/d/1515st2rFUiDbAQH9_WuAKi1xFSxw3VuU/view?usp=sharing","2008-45")</f>
        <v>2008-45</v>
      </c>
      <c r="B251" s="26" t="str">
        <f>HYPERLINK("https://drive.google.com/file/d/1515st2rFUiDbAQH9_WuAKi1xFSxw3VuU/view?usp=sharing","PERFIL DOS PRODUTORES DE MANDIOCA E UNIDADES DE PRODUÇÃO BENEFICIADOS PELO PROGRAMA NACIONAL DE FORTALECIMENTO DA AGRICULTURA FAMILIAR (PRONAF) NO MUNICÍPIO DE BUERAREMA, BA")</f>
        <v>PERFIL DOS PRODUTORES DE MANDIOCA E UNIDADES DE PRODUÇÃO BENEFICIADOS PELO PROGRAMA NACIONAL DE FORTALECIMENTO DA AGRICULTURA FAMILIAR (PRONAF) NO MUNICÍPIO DE BUERAREMA, BA</v>
      </c>
      <c r="C251" s="27" t="s">
        <v>386</v>
      </c>
      <c r="D251" s="27" t="s">
        <v>672</v>
      </c>
      <c r="E251" s="27" t="s">
        <v>673</v>
      </c>
      <c r="F251" s="27" t="s">
        <v>114</v>
      </c>
      <c r="G251" s="35">
        <v>2009.0</v>
      </c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30"/>
      <c r="T251" s="30"/>
      <c r="U251" s="30"/>
      <c r="V251" s="30"/>
      <c r="W251" s="30"/>
      <c r="X251" s="30"/>
      <c r="Y251" s="30"/>
      <c r="Z251" s="30"/>
    </row>
    <row r="252" ht="42.75" customHeight="1">
      <c r="A252" s="31" t="str">
        <f>HYPERLINK("https://drive.google.com/file/d/1HoIUQJUse4frNIEFlk5N0o8JsiQEi8WX/view?usp=sharing","2008-46")</f>
        <v>2008-46</v>
      </c>
      <c r="B252" s="32" t="str">
        <f>HYPERLINK("https://drive.google.com/file/d/1HoIUQJUse4frNIEFlk5N0o8JsiQEi8WX/view?usp=sharing","O MICROCRÉDITO COMO PROGRAMA COMPLEMENTAR AO PROGRAMA BOLSA FAMÍLIA: A experiência microcreditícia do Banco do Povo de Itabuna, Bahia")</f>
        <v>O MICROCRÉDITO COMO PROGRAMA COMPLEMENTAR AO PROGRAMA BOLSA FAMÍLIA: A experiência microcreditícia do Banco do Povo de Itabuna, Bahia</v>
      </c>
      <c r="C252" s="33" t="s">
        <v>674</v>
      </c>
      <c r="D252" s="33" t="s">
        <v>675</v>
      </c>
      <c r="E252" s="33" t="s">
        <v>676</v>
      </c>
      <c r="F252" s="33" t="s">
        <v>184</v>
      </c>
      <c r="G252" s="36">
        <v>2009.0</v>
      </c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30"/>
      <c r="T252" s="30"/>
      <c r="U252" s="30"/>
      <c r="V252" s="30"/>
      <c r="W252" s="30"/>
      <c r="X252" s="30"/>
      <c r="Y252" s="30"/>
      <c r="Z252" s="30"/>
    </row>
    <row r="253" ht="51.0" customHeight="1">
      <c r="A253" s="31" t="str">
        <f>HYPERLINK("https://drive.google.com/file/d/1Aiv693IbXi7EX2oLRdZ6RaZwIu54dCkJ/view?usp=sharing","2009-01")</f>
        <v>2009-01</v>
      </c>
      <c r="B253" s="32" t="str">
        <f>HYPERLINK("https://drive.google.com/file/d/1Aiv693IbXi7EX2oLRdZ6RaZwIu54dCkJ/view?usp=sharing","ANÁLISE DO COMPORTAMENTO DO CONSUMIDOR DE PRODUTOS DE HIGIENIZAÇÃO HOTELEIRA NOS MUNICÍPIOS DE ITABUNA E ILHÉUS - BAHIA")</f>
        <v>ANÁLISE DO COMPORTAMENTO DO CONSUMIDOR DE PRODUTOS DE HIGIENIZAÇÃO HOTELEIRA NOS MUNICÍPIOS DE ITABUNA E ILHÉUS - BAHIA</v>
      </c>
      <c r="C253" s="33" t="s">
        <v>116</v>
      </c>
      <c r="D253" s="33" t="s">
        <v>677</v>
      </c>
      <c r="E253" s="33" t="s">
        <v>678</v>
      </c>
      <c r="F253" s="33" t="s">
        <v>658</v>
      </c>
      <c r="G253" s="34">
        <v>40037.0</v>
      </c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30"/>
      <c r="T253" s="30"/>
      <c r="U253" s="30"/>
      <c r="V253" s="30"/>
      <c r="W253" s="30"/>
      <c r="X253" s="30"/>
      <c r="Y253" s="30"/>
      <c r="Z253" s="30"/>
    </row>
    <row r="254" ht="28.5" customHeight="1">
      <c r="A254" s="25" t="str">
        <f>HYPERLINK("https://drive.google.com/file/d/1yFRZ_4RwOnZCP99Z4cggggLJw5taqp_2/view?usp=sharing","2009-02")</f>
        <v>2009-02</v>
      </c>
      <c r="B254" s="26" t="str">
        <f>HYPERLINK("https://drive.google.com/file/d/1yFRZ_4RwOnZCP99Z4cggggLJw5taqp_2/view?usp=sharing","INDICADORES DE DESENVOLVIMENTO RURAL DA REGIÃO SUDOESTE DA BAHIA")</f>
        <v>INDICADORES DE DESENVOLVIMENTO RURAL DA REGIÃO SUDOESTE DA BAHIA</v>
      </c>
      <c r="C254" s="27" t="s">
        <v>386</v>
      </c>
      <c r="D254" s="27" t="s">
        <v>679</v>
      </c>
      <c r="E254" s="27" t="s">
        <v>680</v>
      </c>
      <c r="F254" s="27" t="s">
        <v>114</v>
      </c>
      <c r="G254" s="28">
        <v>39878.0</v>
      </c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30"/>
      <c r="T254" s="30"/>
      <c r="U254" s="30"/>
      <c r="V254" s="30"/>
      <c r="W254" s="30"/>
      <c r="X254" s="30"/>
      <c r="Y254" s="30"/>
      <c r="Z254" s="30"/>
    </row>
    <row r="255" ht="42.75" customHeight="1">
      <c r="A255" s="31" t="str">
        <f>HYPERLINK("https://drive.google.com/file/d/1a8Y_wvfrUvBfAVCm4hZuqCjvodZSJlBm/view?usp=sharing","2009-03")</f>
        <v>2009-03</v>
      </c>
      <c r="B255" s="32" t="str">
        <f>HYPERLINK("https://drive.google.com/file/d/1a8Y_wvfrUvBfAVCm4hZuqCjvodZSJlBm/view?usp=sharing","UM ESTUDO DA ESTRUTURA DE MERCADO NA INDÚSTRIA DA AVIAÇÃO COMERCIAL, NO BRASIL, NO ANO DE 2007")</f>
        <v>UM ESTUDO DA ESTRUTURA DE MERCADO NA INDÚSTRIA DA AVIAÇÃO COMERCIAL, NO BRASIL, NO ANO DE 2007</v>
      </c>
      <c r="C255" s="33" t="s">
        <v>301</v>
      </c>
      <c r="D255" s="33" t="s">
        <v>681</v>
      </c>
      <c r="E255" s="33" t="s">
        <v>682</v>
      </c>
      <c r="F255" s="33" t="s">
        <v>105</v>
      </c>
      <c r="G255" s="34">
        <v>39836.0</v>
      </c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30"/>
      <c r="T255" s="30"/>
      <c r="U255" s="30"/>
      <c r="V255" s="30"/>
      <c r="W255" s="30"/>
      <c r="X255" s="30"/>
      <c r="Y255" s="30"/>
      <c r="Z255" s="30"/>
    </row>
    <row r="256" ht="28.5" customHeight="1">
      <c r="A256" s="25" t="str">
        <f>HYPERLINK("https://drive.google.com/file/d/18CdXVqzxGbzmkC8Hd5swgJg45QztrJew/view?usp=sharing","2009-04")</f>
        <v>2009-04</v>
      </c>
      <c r="B256" s="26" t="str">
        <f>HYPERLINK("https://drive.google.com/file/d/18CdXVqzxGbzmkC8Hd5swgJg45QztrJew/view?usp=sharing","EVOLUÇÃO DO ÍNDICE DE DESENVOLVIMENTO HUMANO DO BRASIL (1990 – 2007)")</f>
        <v>EVOLUÇÃO DO ÍNDICE DE DESENVOLVIMENTO HUMANO DO BRASIL (1990 – 2007)</v>
      </c>
      <c r="C256" s="27" t="s">
        <v>61</v>
      </c>
      <c r="D256" s="27" t="s">
        <v>683</v>
      </c>
      <c r="E256" s="27" t="s">
        <v>684</v>
      </c>
      <c r="F256" s="27" t="s">
        <v>685</v>
      </c>
      <c r="G256" s="28">
        <v>39979.0</v>
      </c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30"/>
      <c r="T256" s="30"/>
      <c r="U256" s="30"/>
      <c r="V256" s="30"/>
      <c r="W256" s="30"/>
      <c r="X256" s="30"/>
      <c r="Y256" s="30"/>
      <c r="Z256" s="30"/>
    </row>
    <row r="257" ht="28.5" customHeight="1">
      <c r="A257" s="31" t="str">
        <f>HYPERLINK("https://drive.google.com/file/d/1_3XisWgxThaznAB2M6vZdT5FHhpezat5/view?usp=sharing","2009-05")</f>
        <v>2009-05</v>
      </c>
      <c r="B257" s="32" t="str">
        <f>HYPERLINK("https://drive.google.com/file/d/1_3XisWgxThaznAB2M6vZdT5FHhpezat5/view?usp=sharing","COMERCIALIZAÇÃO AGRÍCOLA DO DENDÊ NO MUNICÍPIO DE TAPEROÁ-BAHIA")</f>
        <v>COMERCIALIZAÇÃO AGRÍCOLA DO DENDÊ NO MUNICÍPIO DE TAPEROÁ-BAHIA</v>
      </c>
      <c r="C257" s="33" t="s">
        <v>47</v>
      </c>
      <c r="D257" s="33" t="s">
        <v>686</v>
      </c>
      <c r="E257" s="33" t="s">
        <v>687</v>
      </c>
      <c r="F257" s="33" t="s">
        <v>399</v>
      </c>
      <c r="G257" s="34">
        <v>39847.0</v>
      </c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30"/>
      <c r="T257" s="30"/>
      <c r="U257" s="30"/>
      <c r="V257" s="30"/>
      <c r="W257" s="30"/>
      <c r="X257" s="30"/>
      <c r="Y257" s="30"/>
      <c r="Z257" s="30"/>
    </row>
    <row r="258" ht="51.0" customHeight="1">
      <c r="A258" s="25" t="str">
        <f>HYPERLINK("https://drive.google.com/file/d/1oN3Py_GHnZIUp9iOSmKi-RV0Lkl7tJr4/view?usp=sharing","2009-06")</f>
        <v>2009-06</v>
      </c>
      <c r="B258" s="26" t="str">
        <f>HYPERLINK("https://drive.google.com/file/d/1oN3Py_GHnZIUp9iOSmKi-RV0Lkl7tJr4/view?usp=sharing","EMPREGO E DESEMPREGO NOS SETORES DE ATIVIDADE ECONÔMICA NO MUNICÍPIO DE TEIXEIRA DE FREITAS (BAHIA) NO PERÍODO DE 2004 A 2008")</f>
        <v>EMPREGO E DESEMPREGO NOS SETORES DE ATIVIDADE ECONÔMICA NO MUNICÍPIO DE TEIXEIRA DE FREITAS (BAHIA) NO PERÍODO DE 2004 A 2008</v>
      </c>
      <c r="C258" s="27" t="s">
        <v>18</v>
      </c>
      <c r="D258" s="27" t="s">
        <v>688</v>
      </c>
      <c r="E258" s="27" t="s">
        <v>689</v>
      </c>
      <c r="F258" s="27" t="s">
        <v>685</v>
      </c>
      <c r="G258" s="28">
        <v>40165.0</v>
      </c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30"/>
      <c r="T258" s="30"/>
      <c r="U258" s="30"/>
      <c r="V258" s="30"/>
      <c r="W258" s="30"/>
      <c r="X258" s="30"/>
      <c r="Y258" s="30"/>
      <c r="Z258" s="30"/>
    </row>
    <row r="259" ht="38.25" customHeight="1">
      <c r="A259" s="31" t="str">
        <f>HYPERLINK("https://drive.google.com/file/d/1Z4Gn7AhGXuKcQePKGbIDYza6ICCSfu9H/view?usp=sharing","2009-07")</f>
        <v>2009-07</v>
      </c>
      <c r="B259" s="32" t="str">
        <f>HYPERLINK("https://drive.google.com/file/d/1Z4Gn7AhGXuKcQePKGbIDYza6ICCSfu9H/view?usp=sharing","ANÁLISE ECONÔMICA DA CAFEICULTURA EM SISTEMAS DE PARCERIA E ASSALARIAMENTO NO MUNICÍPIO DE CAMACAN, BAHIA.")</f>
        <v>ANÁLISE ECONÔMICA DA CAFEICULTURA EM SISTEMAS DE PARCERIA E ASSALARIAMENTO NO MUNICÍPIO DE CAMACAN, BAHIA.</v>
      </c>
      <c r="C259" s="33" t="s">
        <v>47</v>
      </c>
      <c r="D259" s="33" t="s">
        <v>690</v>
      </c>
      <c r="E259" s="33" t="s">
        <v>691</v>
      </c>
      <c r="F259" s="33" t="s">
        <v>114</v>
      </c>
      <c r="G259" s="34">
        <v>40045.0</v>
      </c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30"/>
      <c r="T259" s="30"/>
      <c r="U259" s="30"/>
      <c r="V259" s="30"/>
      <c r="W259" s="30"/>
      <c r="X259" s="30"/>
      <c r="Y259" s="30"/>
      <c r="Z259" s="30"/>
    </row>
    <row r="260" ht="51.0" customHeight="1">
      <c r="A260" s="25" t="str">
        <f>HYPERLINK("https://drive.google.com/file/d/1cSpqZALaHJ1gdv6cB8gJs7JY9IKgKt_q/view?usp=sharing","2009-08")</f>
        <v>2009-08</v>
      </c>
      <c r="B260" s="26" t="str">
        <f>HYPERLINK("https://drive.google.com/file/d/1cSpqZALaHJ1gdv6cB8gJs7JY9IKgKt_q/view?usp=sharing","O TURISMO NO DISTRITO DE SERRA GRANDE NO MUNICÍPIO DE URUÇUCA (BAHIA) NA BAIXA ESTAÇÃO, EM 2009, NUMA PERSPECTIVA DO VISITANTE.")</f>
        <v>O TURISMO NO DISTRITO DE SERRA GRANDE NO MUNICÍPIO DE URUÇUCA (BAHIA) NA BAIXA ESTAÇÃO, EM 2009, NUMA PERSPECTIVA DO VISITANTE.</v>
      </c>
      <c r="C260" s="27" t="s">
        <v>33</v>
      </c>
      <c r="D260" s="27" t="s">
        <v>692</v>
      </c>
      <c r="E260" s="27" t="s">
        <v>693</v>
      </c>
      <c r="F260" s="27" t="s">
        <v>64</v>
      </c>
      <c r="G260" s="28">
        <v>40170.0</v>
      </c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30"/>
      <c r="T260" s="30"/>
      <c r="U260" s="30"/>
      <c r="V260" s="30"/>
      <c r="W260" s="30"/>
      <c r="X260" s="30"/>
      <c r="Y260" s="30"/>
      <c r="Z260" s="30"/>
    </row>
    <row r="261" ht="28.5" customHeight="1">
      <c r="A261" s="31" t="str">
        <f>HYPERLINK("https://drive.google.com/file/d/1ejZoBMgLDKoNMt2khg4kxSQABPqZbjYP/view?usp=sharing","2009-09")</f>
        <v>2009-09</v>
      </c>
      <c r="B261" s="32" t="str">
        <f>HYPERLINK("https://drive.google.com/file/d/1ejZoBMgLDKoNMt2khg4kxSQABPqZbjYP/view?usp=sharing","DETERMINANTES DA OFERTA DE EXPORTAÇÃO DE PAPEL E CELULOSE NO BRASIL, 2002 - 2009")</f>
        <v>DETERMINANTES DA OFERTA DE EXPORTAÇÃO DE PAPEL E CELULOSE NO BRASIL, 2002 - 2009</v>
      </c>
      <c r="C261" s="33" t="s">
        <v>252</v>
      </c>
      <c r="D261" s="33" t="s">
        <v>694</v>
      </c>
      <c r="E261" s="33" t="s">
        <v>695</v>
      </c>
      <c r="F261" s="33" t="s">
        <v>447</v>
      </c>
      <c r="G261" s="34">
        <v>40154.0</v>
      </c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30"/>
      <c r="T261" s="30"/>
      <c r="U261" s="30"/>
      <c r="V261" s="30"/>
      <c r="W261" s="30"/>
      <c r="X261" s="30"/>
      <c r="Y261" s="30"/>
      <c r="Z261" s="30"/>
    </row>
    <row r="262" ht="57.0" customHeight="1">
      <c r="A262" s="25" t="str">
        <f>HYPERLINK("https://drive.google.com/file/d/1x_DHUD8J-evckh3l3wtjyHpNCyUSytZ4/view?usp=sharing","2009-10")</f>
        <v>2009-10</v>
      </c>
      <c r="B262" s="26" t="str">
        <f>HYPERLINK("https://drive.google.com/file/d/1x_DHUD8J-evckh3l3wtjyHpNCyUSytZ4/view?usp=sharing","INFORMAÇÕES ASSIMÉTRICAS: teorias e evidências sobre o seu impacto na economia atual")</f>
        <v>INFORMAÇÕES ASSIMÉTRICAS: teorias e evidências sobre o seu impacto na economia atual</v>
      </c>
      <c r="C262" s="27" t="s">
        <v>311</v>
      </c>
      <c r="D262" s="27" t="s">
        <v>696</v>
      </c>
      <c r="E262" s="27" t="s">
        <v>697</v>
      </c>
      <c r="F262" s="27" t="s">
        <v>170</v>
      </c>
      <c r="G262" s="28">
        <v>40161.0</v>
      </c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30"/>
      <c r="T262" s="30"/>
      <c r="U262" s="30"/>
      <c r="V262" s="30"/>
      <c r="W262" s="30"/>
      <c r="X262" s="30"/>
      <c r="Y262" s="30"/>
      <c r="Z262" s="30"/>
    </row>
    <row r="263" ht="85.5" customHeight="1">
      <c r="A263" s="31" t="str">
        <f>HYPERLINK("https://drive.google.com/file/d/1TKEgD0_-q8jvjzOmJ1rxvbGLaWO2pK8U/view?usp=sharing","2009-11")</f>
        <v>2009-11</v>
      </c>
      <c r="B263" s="32" t="str">
        <f>HYPERLINK("https://drive.google.com/file/d/1TKEgD0_-q8jvjzOmJ1rxvbGLaWO2pK8U/view?usp=sharing","A GESTÃO AMBIENTAL EMPRESARIAL, SEUS CUSTOS E BENEFÍCIOS: ESTUDO DE CASO DA EMPRESA BITWAY, DE 2006 A 2008.")</f>
        <v>A GESTÃO AMBIENTAL EMPRESARIAL, SEUS CUSTOS E BENEFÍCIOS: ESTUDO DE CASO DA EMPRESA BITWAY, DE 2006 A 2008.</v>
      </c>
      <c r="C263" s="33" t="s">
        <v>43</v>
      </c>
      <c r="D263" s="33" t="s">
        <v>698</v>
      </c>
      <c r="E263" s="33" t="s">
        <v>699</v>
      </c>
      <c r="F263" s="33" t="s">
        <v>613</v>
      </c>
      <c r="G263" s="34">
        <v>39877.0</v>
      </c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30"/>
      <c r="T263" s="30"/>
      <c r="U263" s="30"/>
      <c r="V263" s="30"/>
      <c r="W263" s="30"/>
      <c r="X263" s="30"/>
      <c r="Y263" s="30"/>
      <c r="Z263" s="30"/>
    </row>
    <row r="264" ht="38.25" customHeight="1">
      <c r="A264" s="25" t="str">
        <f>HYPERLINK("https://drive.google.com/file/d/1fMLbAPT3m1flGFZJL6WfUYPSYr9yqyl1/view?usp=sharing","2009-12")</f>
        <v>2009-12</v>
      </c>
      <c r="B264" s="26" t="str">
        <f>HYPERLINK("https://drive.google.com/file/d/1fMLbAPT3m1flGFZJL6WfUYPSYr9yqyl1/view?usp=sharing","OS INVESTIMENTOS EM CONSTRUÇÃO CIVIL NO BRASIL E SUA RELAÇÃO COM O PRODUTO INTERNO BRUTO.")</f>
        <v>OS INVESTIMENTOS EM CONSTRUÇÃO CIVIL NO BRASIL E SUA RELAÇÃO COM O PRODUTO INTERNO BRUTO.</v>
      </c>
      <c r="C264" s="27" t="s">
        <v>23</v>
      </c>
      <c r="D264" s="27" t="s">
        <v>700</v>
      </c>
      <c r="E264" s="27" t="s">
        <v>701</v>
      </c>
      <c r="F264" s="27" t="s">
        <v>105</v>
      </c>
      <c r="G264" s="28">
        <v>40037.0</v>
      </c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30"/>
      <c r="T264" s="30"/>
      <c r="U264" s="30"/>
      <c r="V264" s="30"/>
      <c r="W264" s="30"/>
      <c r="X264" s="30"/>
      <c r="Y264" s="30"/>
      <c r="Z264" s="30"/>
    </row>
    <row r="265" ht="42.75" customHeight="1">
      <c r="A265" s="31" t="str">
        <f>HYPERLINK("https://drive.google.com/file/d/1EQ0jghGAlRGp1iSgSaqDcICtnnlXoVd7/view?usp=sharing","2009-13")</f>
        <v>2009-13</v>
      </c>
      <c r="B265" s="32" t="str">
        <f>HYPERLINK("https://drive.google.com/file/d/1EQ0jghGAlRGp1iSgSaqDcICtnnlXoVd7/view?usp=sharing","O RECEPTIVO DE CRUZEIROS MARÍTIMOS E A SUA IMPORTÂNCIA ECONÔMICA PARA O MUNICÍPIO DE ILHÉUS-BAHIA.")</f>
        <v>O RECEPTIVO DE CRUZEIROS MARÍTIMOS E A SUA IMPORTÂNCIA ECONÔMICA PARA O MUNICÍPIO DE ILHÉUS-BAHIA.</v>
      </c>
      <c r="C265" s="33" t="s">
        <v>33</v>
      </c>
      <c r="D265" s="33" t="s">
        <v>702</v>
      </c>
      <c r="E265" s="33" t="s">
        <v>703</v>
      </c>
      <c r="F265" s="33" t="s">
        <v>704</v>
      </c>
      <c r="G265" s="34">
        <v>40037.0</v>
      </c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30"/>
      <c r="T265" s="30"/>
      <c r="U265" s="30"/>
      <c r="V265" s="30"/>
      <c r="W265" s="30"/>
      <c r="X265" s="30"/>
      <c r="Y265" s="30"/>
      <c r="Z265" s="30"/>
    </row>
    <row r="266" ht="42.75" customHeight="1">
      <c r="A266" s="25" t="s">
        <v>705</v>
      </c>
      <c r="B266" s="26" t="str">
        <f>HYPERLINK("https://drive.google.com/file/d/1UR8xuTk4ZwmOV7peWPRPb9ENGsxuEtA1/view?usp=sharing","ANÁLISE DO MERCADO DE TRABALHO FORMAL NO MUNICÍPIO DE ITABUNA-BA NO PERÍODO DE 2003 A 2008.")</f>
        <v>ANÁLISE DO MERCADO DE TRABALHO FORMAL NO MUNICÍPIO DE ITABUNA-BA NO PERÍODO DE 2003 A 2008.</v>
      </c>
      <c r="C266" s="27" t="s">
        <v>18</v>
      </c>
      <c r="D266" s="27" t="s">
        <v>706</v>
      </c>
      <c r="E266" s="27" t="s">
        <v>707</v>
      </c>
      <c r="F266" s="27" t="s">
        <v>356</v>
      </c>
      <c r="G266" s="28">
        <v>40037.0</v>
      </c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30"/>
      <c r="T266" s="30"/>
      <c r="U266" s="30"/>
      <c r="V266" s="30"/>
      <c r="W266" s="30"/>
      <c r="X266" s="30"/>
      <c r="Y266" s="30"/>
      <c r="Z266" s="30"/>
    </row>
    <row r="267" ht="28.5" customHeight="1">
      <c r="A267" s="31" t="s">
        <v>708</v>
      </c>
      <c r="B267" s="32" t="str">
        <f>HYPERLINK("https://drive.google.com/file/d/12OlRRof0G-NFL79xVXw1UDx_hk6bkW6X/view?usp=sharing","ANÁLISE DA SATISFAÇÃO DOS CLIENTES DA CESTA DO POVO EM COARACI - BAHIA. ")</f>
        <v>ANÁLISE DA SATISFAÇÃO DOS CLIENTES DA CESTA DO POVO EM COARACI - BAHIA. </v>
      </c>
      <c r="C267" s="33" t="s">
        <v>116</v>
      </c>
      <c r="D267" s="33" t="s">
        <v>709</v>
      </c>
      <c r="E267" s="33" t="s">
        <v>710</v>
      </c>
      <c r="F267" s="33" t="s">
        <v>105</v>
      </c>
      <c r="G267" s="34">
        <v>40037.0</v>
      </c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30"/>
      <c r="T267" s="30"/>
      <c r="U267" s="30"/>
      <c r="V267" s="30"/>
      <c r="W267" s="30"/>
      <c r="X267" s="30"/>
      <c r="Y267" s="30"/>
      <c r="Z267" s="30"/>
    </row>
    <row r="268" ht="42.75" customHeight="1">
      <c r="A268" s="25" t="s">
        <v>711</v>
      </c>
      <c r="B268" s="26" t="str">
        <f>HYPERLINK("https://drive.google.com/file/d/1fcp8UpETGkL65gaM8rm7VUe1qzDFNO-c/view?usp=sharing","TURISMO DE CRUZEIROS EM ILHÉUS-BAHIA: análise exploratória das condições da oferta turística")</f>
        <v>TURISMO DE CRUZEIROS EM ILHÉUS-BAHIA: análise exploratória das condições da oferta turística</v>
      </c>
      <c r="C268" s="27" t="s">
        <v>33</v>
      </c>
      <c r="D268" s="27" t="s">
        <v>712</v>
      </c>
      <c r="E268" s="27" t="s">
        <v>713</v>
      </c>
      <c r="F268" s="27" t="s">
        <v>613</v>
      </c>
      <c r="G268" s="28">
        <v>40037.0</v>
      </c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30"/>
      <c r="T268" s="30"/>
      <c r="U268" s="30"/>
      <c r="V268" s="30"/>
      <c r="W268" s="30"/>
      <c r="X268" s="30"/>
      <c r="Y268" s="30"/>
      <c r="Z268" s="30"/>
    </row>
    <row r="269" ht="51.0" customHeight="1">
      <c r="A269" s="31" t="s">
        <v>714</v>
      </c>
      <c r="B269" s="32" t="str">
        <f>HYPERLINK("https://drive.google.com/file/d/1wnLPuHTJSfYjyxhaIGqL4LK1MqztiCy_/view?usp=sharing","ANÁLISE DA SITUAÇÃO DE POBREZA NA REGIÃO LITORAL SUL DA BAHIA: tendo como referência o programa Bolsa Família no período de 2005 a 2008")</f>
        <v>ANÁLISE DA SITUAÇÃO DE POBREZA NA REGIÃO LITORAL SUL DA BAHIA: tendo como referência o programa Bolsa Família no período de 2005 a 2008</v>
      </c>
      <c r="C269" s="33" t="s">
        <v>61</v>
      </c>
      <c r="D269" s="33" t="s">
        <v>715</v>
      </c>
      <c r="E269" s="33" t="s">
        <v>716</v>
      </c>
      <c r="F269" s="33" t="s">
        <v>41</v>
      </c>
      <c r="G269" s="34">
        <v>40045.0</v>
      </c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30"/>
      <c r="T269" s="30"/>
      <c r="U269" s="30"/>
      <c r="V269" s="30"/>
      <c r="W269" s="30"/>
      <c r="X269" s="30"/>
      <c r="Y269" s="30"/>
      <c r="Z269" s="30"/>
    </row>
    <row r="270" ht="51.0" customHeight="1">
      <c r="A270" s="25" t="s">
        <v>717</v>
      </c>
      <c r="B270" s="26" t="str">
        <f>HYPERLINK("https://drive.google.com/file/d/1iPVln6f3-9DpQ_Rw_pFviOQejWp-6x3N/view?usp=sharing","ANÁLISE ECONÔMICA DA CACAUICULTURA NO MUNICÍPIO DE URUÇUCA – BAHIA: UMA ANÁLISE COMPARATIVA ENTRE O CACAU COMUM E O CACAU CLONADO.")</f>
        <v>ANÁLISE ECONÔMICA DA CACAUICULTURA NO MUNICÍPIO DE URUÇUCA – BAHIA: UMA ANÁLISE COMPARATIVA ENTRE O CACAU COMUM E O CACAU CLONADO.</v>
      </c>
      <c r="C270" s="27" t="s">
        <v>386</v>
      </c>
      <c r="D270" s="27" t="s">
        <v>718</v>
      </c>
      <c r="E270" s="27" t="s">
        <v>719</v>
      </c>
      <c r="F270" s="27" t="s">
        <v>205</v>
      </c>
      <c r="G270" s="28">
        <v>40043.0</v>
      </c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30"/>
      <c r="T270" s="30"/>
      <c r="U270" s="30"/>
      <c r="V270" s="30"/>
      <c r="W270" s="30"/>
      <c r="X270" s="30"/>
      <c r="Y270" s="30"/>
      <c r="Z270" s="30"/>
    </row>
    <row r="271" ht="42.75" customHeight="1">
      <c r="A271" s="31" t="s">
        <v>720</v>
      </c>
      <c r="B271" s="32" t="str">
        <f>HYPERLINK("https://drive.google.com/file/d/1eEVpuid4ePwjGgq8UJ10O9D-FC7SmQIS/view?usp=sharing","UMA ANÁLISE SOBRE A POLÍTICA FISCAL NO BRASIL NO PERÍODO DE 1999 A 2008")</f>
        <v>UMA ANÁLISE SOBRE A POLÍTICA FISCAL NO BRASIL NO PERÍODO DE 1999 A 2008</v>
      </c>
      <c r="C271" s="33" t="s">
        <v>23</v>
      </c>
      <c r="D271" s="33" t="s">
        <v>721</v>
      </c>
      <c r="E271" s="33" t="s">
        <v>722</v>
      </c>
      <c r="F271" s="33" t="s">
        <v>170</v>
      </c>
      <c r="G271" s="34">
        <v>40161.0</v>
      </c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30"/>
      <c r="T271" s="30"/>
      <c r="U271" s="30"/>
      <c r="V271" s="30"/>
      <c r="W271" s="30"/>
      <c r="X271" s="30"/>
      <c r="Y271" s="30"/>
      <c r="Z271" s="30"/>
    </row>
    <row r="272" ht="42.75" customHeight="1">
      <c r="A272" s="25" t="s">
        <v>723</v>
      </c>
      <c r="B272" s="26" t="str">
        <f>HYPERLINK("https://drive.google.com/file/d/1JDOZQiHCmZ0SeuRMp1xgIKL7gtuxlO8y/view?usp=sharing","AVALIAÇÃO DO DESTINO ILHÉUS EM RELAÇÃO À SEGURANÇA PÚBLICA ENTRE OS ANOS 2005 A 2007")</f>
        <v>AVALIAÇÃO DO DESTINO ILHÉUS EM RELAÇÃO À SEGURANÇA PÚBLICA ENTRE OS ANOS 2005 A 2007</v>
      </c>
      <c r="C272" s="27" t="s">
        <v>33</v>
      </c>
      <c r="D272" s="27" t="s">
        <v>724</v>
      </c>
      <c r="E272" s="27" t="s">
        <v>725</v>
      </c>
      <c r="F272" s="27" t="s">
        <v>147</v>
      </c>
      <c r="G272" s="28">
        <v>39847.0</v>
      </c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30"/>
      <c r="T272" s="30"/>
      <c r="U272" s="30"/>
      <c r="V272" s="30"/>
      <c r="W272" s="30"/>
      <c r="X272" s="30"/>
      <c r="Y272" s="30"/>
      <c r="Z272" s="30"/>
    </row>
    <row r="273" ht="42.75" customHeight="1">
      <c r="A273" s="31" t="s">
        <v>726</v>
      </c>
      <c r="B273" s="32" t="str">
        <f>HYPERLINK("https://drive.google.com/file/d/1TV8l47izFuldlksS1l5HW49ee1TUezjq/view?usp=sharing","GESTÃO AMBIENTAL: O CASO DA MICHELIN NA BAHIA.")</f>
        <v>GESTÃO AMBIENTAL: O CASO DA MICHELIN NA BAHIA.</v>
      </c>
      <c r="C273" s="33" t="s">
        <v>43</v>
      </c>
      <c r="D273" s="33" t="s">
        <v>727</v>
      </c>
      <c r="E273" s="33" t="s">
        <v>728</v>
      </c>
      <c r="F273" s="33" t="s">
        <v>729</v>
      </c>
      <c r="G273" s="34">
        <v>39874.0</v>
      </c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30"/>
      <c r="T273" s="30"/>
      <c r="U273" s="30"/>
      <c r="V273" s="30"/>
      <c r="W273" s="30"/>
      <c r="X273" s="30"/>
      <c r="Y273" s="30"/>
      <c r="Z273" s="30"/>
    </row>
    <row r="274" ht="42.75" customHeight="1">
      <c r="A274" s="25" t="s">
        <v>730</v>
      </c>
      <c r="B274" s="26" t="str">
        <f>HYPERLINK("https://drive.google.com/file/d/1KI9bvaslCpYTuyNNLuEG52NSdHeaZYZ6/view?usp=sharing","PERFIL SÓCIO-ECONÔMICO DOS TRABALHADORES INFORMAIS NAS PRAIAS NO MUNICÍPIO DE ITACARÉ-BAHIA, EM 2007")</f>
        <v>PERFIL SÓCIO-ECONÔMICO DOS TRABALHADORES INFORMAIS NAS PRAIAS NO MUNICÍPIO DE ITACARÉ-BAHIA, EM 2007</v>
      </c>
      <c r="C274" s="27" t="s">
        <v>33</v>
      </c>
      <c r="D274" s="27" t="s">
        <v>731</v>
      </c>
      <c r="E274" s="27" t="s">
        <v>732</v>
      </c>
      <c r="F274" s="27" t="s">
        <v>64</v>
      </c>
      <c r="G274" s="28">
        <v>39839.0</v>
      </c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30"/>
      <c r="T274" s="30"/>
      <c r="U274" s="30"/>
      <c r="V274" s="30"/>
      <c r="W274" s="30"/>
      <c r="X274" s="30"/>
      <c r="Y274" s="30"/>
      <c r="Z274" s="30"/>
    </row>
    <row r="275" ht="42.75" customHeight="1">
      <c r="A275" s="31" t="s">
        <v>733</v>
      </c>
      <c r="B275" s="32" t="str">
        <f>HYPERLINK("https://drive.google.com/file/d/10398xsOMZTcs5zov4SCvusGB22Ny9v4m/view?usp=sharing","MENSURAÇÃO DA RIQUEZA NACIONAL ATRAVÉS DO PRODUTO INTERNO BRUTO VERDE: uma análise brasileira")</f>
        <v>MENSURAÇÃO DA RIQUEZA NACIONAL ATRAVÉS DO PRODUTO INTERNO BRUTO VERDE: uma análise brasileira</v>
      </c>
      <c r="C275" s="33" t="s">
        <v>734</v>
      </c>
      <c r="D275" s="33" t="s">
        <v>735</v>
      </c>
      <c r="E275" s="33" t="s">
        <v>736</v>
      </c>
      <c r="F275" s="33" t="s">
        <v>685</v>
      </c>
      <c r="G275" s="34">
        <v>39874.0</v>
      </c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30"/>
      <c r="T275" s="30"/>
      <c r="U275" s="30"/>
      <c r="V275" s="30"/>
      <c r="W275" s="30"/>
      <c r="X275" s="30"/>
      <c r="Y275" s="30"/>
      <c r="Z275" s="30"/>
    </row>
    <row r="276" ht="51.0" customHeight="1">
      <c r="A276" s="25" t="s">
        <v>737</v>
      </c>
      <c r="B276" s="26" t="str">
        <f>HYPERLINK("https://drive.google.com/file/d/1fEMq1E9zBiCk1oH0Be2HNXOQYB9xgTFP/view?usp=sharing","POLÍTICA DE DESENVOLVIMENTO PROMOVIDA PELO BANCO DO NORDESTE: O CASO DO CREDIAMIGO NO MUNICÍPIO DE ITABUNA-BAHIA, NO PERÍODO DE 1999 A 2009")</f>
        <v>POLÍTICA DE DESENVOLVIMENTO PROMOVIDA PELO BANCO DO NORDESTE: O CASO DO CREDIAMIGO NO MUNICÍPIO DE ITABUNA-BAHIA, NO PERÍODO DE 1999 A 2009</v>
      </c>
      <c r="C276" s="27" t="s">
        <v>61</v>
      </c>
      <c r="D276" s="27" t="s">
        <v>738</v>
      </c>
      <c r="E276" s="27" t="s">
        <v>739</v>
      </c>
      <c r="F276" s="27" t="s">
        <v>399</v>
      </c>
      <c r="G276" s="28">
        <v>40023.0</v>
      </c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30"/>
      <c r="T276" s="30"/>
      <c r="U276" s="30"/>
      <c r="V276" s="30"/>
      <c r="W276" s="30"/>
      <c r="X276" s="30"/>
      <c r="Y276" s="30"/>
      <c r="Z276" s="30"/>
    </row>
    <row r="277" ht="51.0" customHeight="1">
      <c r="A277" s="31" t="s">
        <v>740</v>
      </c>
      <c r="B277" s="32" t="str">
        <f>HYPERLINK("https://drive.google.com/file/d/1QDYKIrfLeu_INmCbyAJVHiHJ4P8Gwn0p/view?usp=sharing","TURISMO E DESENVOLVIMENTO SÓCIO-ECONÔMICO: UMA ANÁLISE DOS INVESTIMENTOS DO PRODETUR-BAHIA NOS MUNICÍPIOS DE ILHÉUS E ITACARÉ.")</f>
        <v>TURISMO E DESENVOLVIMENTO SÓCIO-ECONÔMICO: UMA ANÁLISE DOS INVESTIMENTOS DO PRODETUR-BAHIA NOS MUNICÍPIOS DE ILHÉUS E ITACARÉ.</v>
      </c>
      <c r="C277" s="33" t="s">
        <v>33</v>
      </c>
      <c r="D277" s="33" t="s">
        <v>741</v>
      </c>
      <c r="E277" s="33" t="s">
        <v>742</v>
      </c>
      <c r="F277" s="33" t="s">
        <v>147</v>
      </c>
      <c r="G277" s="34">
        <v>39848.0</v>
      </c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30"/>
      <c r="T277" s="30"/>
      <c r="U277" s="30"/>
      <c r="V277" s="30"/>
      <c r="W277" s="30"/>
      <c r="X277" s="30"/>
      <c r="Y277" s="30"/>
      <c r="Z277" s="30"/>
    </row>
    <row r="278" ht="51.0" customHeight="1">
      <c r="A278" s="25" t="s">
        <v>743</v>
      </c>
      <c r="B278" s="26" t="str">
        <f>HYPERLINK("https://drive.google.com/file/d/10mV2fp7ic4o2EdM8zN5bT9LJp28xPoRT/view?usp=sharing","IMPORTÂNCIA DAS RECEITAS ARRECADADAS DE IPTU E ISS NO FINANCIAMENTO DOS GASTOS DO PODER PÚBLICO MUNICIPAL DE ITABUNA – BAHIA COM A COMUNIDADE")</f>
        <v>IMPORTÂNCIA DAS RECEITAS ARRECADADAS DE IPTU E ISS NO FINANCIAMENTO DOS GASTOS DO PODER PÚBLICO MUNICIPAL DE ITABUNA – BAHIA COM A COMUNIDADE</v>
      </c>
      <c r="C278" s="27" t="s">
        <v>23</v>
      </c>
      <c r="D278" s="27" t="s">
        <v>744</v>
      </c>
      <c r="E278" s="27" t="s">
        <v>745</v>
      </c>
      <c r="F278" s="27" t="s">
        <v>88</v>
      </c>
      <c r="G278" s="28">
        <v>39883.0</v>
      </c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30"/>
      <c r="T278" s="30"/>
      <c r="U278" s="30"/>
      <c r="V278" s="30"/>
      <c r="W278" s="30"/>
      <c r="X278" s="30"/>
      <c r="Y278" s="30"/>
      <c r="Z278" s="30"/>
    </row>
    <row r="279" ht="42.75" customHeight="1">
      <c r="A279" s="31" t="s">
        <v>746</v>
      </c>
      <c r="B279" s="32" t="str">
        <f>HYPERLINK("https://drive.google.com/file/d/1Poy79hiJfA-URwg5pzcYDfvogSKmtTm2/view?usp=sharing","UM ESTUDO SOBRE PSICOLOGIA ECONÔMICA E FINANÇAS COMPORTAMENTAIS")</f>
        <v>UM ESTUDO SOBRE PSICOLOGIA ECONÔMICA E FINANÇAS COMPORTAMENTAIS</v>
      </c>
      <c r="C279" s="33" t="s">
        <v>747</v>
      </c>
      <c r="D279" s="33" t="s">
        <v>748</v>
      </c>
      <c r="E279" s="33" t="s">
        <v>749</v>
      </c>
      <c r="F279" s="33" t="s">
        <v>170</v>
      </c>
      <c r="G279" s="34">
        <v>39882.0</v>
      </c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30"/>
      <c r="T279" s="30"/>
      <c r="U279" s="30"/>
      <c r="V279" s="30"/>
      <c r="W279" s="30"/>
      <c r="X279" s="30"/>
      <c r="Y279" s="30"/>
      <c r="Z279" s="30"/>
    </row>
    <row r="280" ht="38.25" customHeight="1">
      <c r="A280" s="25" t="s">
        <v>750</v>
      </c>
      <c r="B280" s="26" t="str">
        <f>HYPERLINK("https://drive.google.com/file/d/1whvi6bckALiiHwa2p3v_mep2W92h1Q6W/view?usp=sharing","ANÁLISE DO COMPORTAMENTO DA RAÇÃO ESSENCIAL MÍNIMA, NAS CIDADES DE ITABUNA E SALVADOR, BAHIA")</f>
        <v>ANÁLISE DO COMPORTAMENTO DA RAÇÃO ESSENCIAL MÍNIMA, NAS CIDADES DE ITABUNA E SALVADOR, BAHIA</v>
      </c>
      <c r="C280" s="27" t="s">
        <v>61</v>
      </c>
      <c r="D280" s="27" t="s">
        <v>751</v>
      </c>
      <c r="E280" s="27" t="s">
        <v>752</v>
      </c>
      <c r="F280" s="27" t="s">
        <v>73</v>
      </c>
      <c r="G280" s="28">
        <v>40168.0</v>
      </c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30"/>
      <c r="T280" s="30"/>
      <c r="U280" s="30"/>
      <c r="V280" s="30"/>
      <c r="W280" s="30"/>
      <c r="X280" s="30"/>
      <c r="Y280" s="30"/>
      <c r="Z280" s="30"/>
    </row>
    <row r="281" ht="51.0" customHeight="1">
      <c r="A281" s="31" t="s">
        <v>753</v>
      </c>
      <c r="B281" s="32" t="str">
        <f>HYPERLINK("https://drive.google.com/file/d/1pQ-kyf2BphQBmfBd41NC5qL4xjoq37MH/view?usp=sharing","O PAPEL DA EDUCAÇÃO E DO CAPITAL HUMANO: ESTUDO DO PERFIL SÓCIO-ECONÔMICO DOS DISCENTES DO CURSO DE ECONOMIA DA UESC EM 2007 ")</f>
        <v>O PAPEL DA EDUCAÇÃO E DO CAPITAL HUMANO: ESTUDO DO PERFIL SÓCIO-ECONÔMICO DOS DISCENTES DO CURSO DE ECONOMIA DA UESC EM 2007 </v>
      </c>
      <c r="C281" s="33" t="s">
        <v>754</v>
      </c>
      <c r="D281" s="33" t="s">
        <v>755</v>
      </c>
      <c r="E281" s="33" t="s">
        <v>756</v>
      </c>
      <c r="F281" s="33" t="s">
        <v>613</v>
      </c>
      <c r="G281" s="34">
        <v>39871.0</v>
      </c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30"/>
      <c r="T281" s="30"/>
      <c r="U281" s="30"/>
      <c r="V281" s="30"/>
      <c r="W281" s="30"/>
      <c r="X281" s="30"/>
      <c r="Y281" s="30"/>
      <c r="Z281" s="30"/>
    </row>
    <row r="282" ht="38.25" customHeight="1">
      <c r="A282" s="25" t="s">
        <v>757</v>
      </c>
      <c r="B282" s="26" t="str">
        <f>HYPERLINK("https://drive.google.com/file/d/1OC-Pg8KmpMewHxPa3vqNB0PZ6ESm7J8y/view?usp=sharing","CONDICIONANTES DA COMPETITIVIDADE DA PRODUÇÃO DE BORRACHA NATURAL NO EIXO IGRAPIÚNA-ITUBERÁ, BAHIA")</f>
        <v>CONDICIONANTES DA COMPETITIVIDADE DA PRODUÇÃO DE BORRACHA NATURAL NO EIXO IGRAPIÚNA-ITUBERÁ, BAHIA</v>
      </c>
      <c r="C282" s="27" t="s">
        <v>47</v>
      </c>
      <c r="D282" s="27" t="s">
        <v>758</v>
      </c>
      <c r="E282" s="27" t="s">
        <v>759</v>
      </c>
      <c r="F282" s="27" t="s">
        <v>447</v>
      </c>
      <c r="G282" s="28">
        <v>39881.0</v>
      </c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30"/>
      <c r="T282" s="30"/>
      <c r="U282" s="30"/>
      <c r="V282" s="30"/>
      <c r="W282" s="30"/>
      <c r="X282" s="30"/>
      <c r="Y282" s="30"/>
      <c r="Z282" s="30"/>
    </row>
    <row r="283" ht="51.0" customHeight="1">
      <c r="A283" s="31" t="s">
        <v>760</v>
      </c>
      <c r="B283" s="32" t="str">
        <f>HYPERLINK("https://drive.google.com/file/d/1H9LGE34XnYdg1LZhEmSOx2iHnM-ooOWP/view?usp=sharing","CARACTERIZAÇÃO SOCIOECONÔMICA DA ÁREA DE PROTEÇÃO AMBIENTAL DA LAGOA ENCANTADA, LOCALIZADA NO MUNICÍPIO DE ILHÉUS-BAHIA")</f>
        <v>CARACTERIZAÇÃO SOCIOECONÔMICA DA ÁREA DE PROTEÇÃO AMBIENTAL DA LAGOA ENCANTADA, LOCALIZADA NO MUNICÍPIO DE ILHÉUS-BAHIA</v>
      </c>
      <c r="C283" s="33" t="s">
        <v>43</v>
      </c>
      <c r="D283" s="33" t="s">
        <v>761</v>
      </c>
      <c r="E283" s="33" t="s">
        <v>762</v>
      </c>
      <c r="F283" s="33" t="s">
        <v>620</v>
      </c>
      <c r="G283" s="34">
        <v>39882.0</v>
      </c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30"/>
      <c r="T283" s="30"/>
      <c r="U283" s="30"/>
      <c r="V283" s="30"/>
      <c r="W283" s="30"/>
      <c r="X283" s="30"/>
      <c r="Y283" s="30"/>
      <c r="Z283" s="30"/>
    </row>
    <row r="284" ht="38.25" customHeight="1">
      <c r="A284" s="25" t="s">
        <v>763</v>
      </c>
      <c r="B284" s="26" t="str">
        <f>HYPERLINK("https://drive.google.com/file/d/1bHi7IcV4gcxPuYVJMGQq_4KYdgWd0Dpo/view?usp=sharing","ANÁLISE SÓCIO-ECONÔMICA DOS BENEFICIÁRIOS DO MICROCRÉDITO NO MUNICÍPIO DE CAMACAN-BAHIA, EM 2008")</f>
        <v>ANÁLISE SÓCIO-ECONÔMICA DOS BENEFICIÁRIOS DO MICROCRÉDITO NO MUNICÍPIO DE CAMACAN-BAHIA, EM 2008</v>
      </c>
      <c r="C284" s="27" t="s">
        <v>28</v>
      </c>
      <c r="D284" s="27" t="s">
        <v>764</v>
      </c>
      <c r="E284" s="27" t="s">
        <v>765</v>
      </c>
      <c r="F284" s="27" t="s">
        <v>356</v>
      </c>
      <c r="G284" s="28">
        <v>40147.0</v>
      </c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30"/>
      <c r="T284" s="30"/>
      <c r="U284" s="30"/>
      <c r="V284" s="30"/>
      <c r="W284" s="30"/>
      <c r="X284" s="30"/>
      <c r="Y284" s="30"/>
      <c r="Z284" s="30"/>
    </row>
    <row r="285" ht="51.0" customHeight="1">
      <c r="A285" s="31" t="s">
        <v>766</v>
      </c>
      <c r="B285" s="32" t="str">
        <f>HYPERLINK("https://drive.google.com/file/d/1ljkGcw5yCkkpTbO9VheK7z354O117bnU/view?usp=sharing","ANÁLISE DE CRÉDITO NO BANCO DO BRASIL: AVALIAÇÃO DOS RISCOS E RETORNO DOS CAPITAIS INVESTIDOS NAS MICRO E PEQUENAS EMPRESAS EM ITABUNA-BAHIA.")</f>
        <v>ANÁLISE DE CRÉDITO NO BANCO DO BRASIL: AVALIAÇÃO DOS RISCOS E RETORNO DOS CAPITAIS INVESTIDOS NAS MICRO E PEQUENAS EMPRESAS EM ITABUNA-BAHIA.</v>
      </c>
      <c r="C285" s="33" t="s">
        <v>767</v>
      </c>
      <c r="D285" s="33" t="s">
        <v>768</v>
      </c>
      <c r="E285" s="33" t="s">
        <v>769</v>
      </c>
      <c r="F285" s="33" t="s">
        <v>88</v>
      </c>
      <c r="G285" s="34">
        <v>39881.0</v>
      </c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30"/>
      <c r="T285" s="30"/>
      <c r="U285" s="30"/>
      <c r="V285" s="30"/>
      <c r="W285" s="30"/>
      <c r="X285" s="30"/>
      <c r="Y285" s="30"/>
      <c r="Z285" s="30"/>
    </row>
    <row r="286" ht="38.25" customHeight="1">
      <c r="A286" s="25" t="s">
        <v>770</v>
      </c>
      <c r="B286" s="26" t="str">
        <f>HYPERLINK("https://drive.google.com/file/d/1ElZBC04M4u_QP-Mfr6RdGC_dyOLFW5I4/view?usp=sharing","ANÁLISE DA EVOLUÇÃO DOS INDICADORES SOCIOECONÔMICOS DA BAHIA NO PERÍODO DE 2000 A 2005")</f>
        <v>ANÁLISE DA EVOLUÇÃO DOS INDICADORES SOCIOECONÔMICOS DA BAHIA NO PERÍODO DE 2000 A 2005</v>
      </c>
      <c r="C286" s="27" t="s">
        <v>61</v>
      </c>
      <c r="D286" s="27" t="s">
        <v>771</v>
      </c>
      <c r="E286" s="27" t="s">
        <v>772</v>
      </c>
      <c r="F286" s="27" t="s">
        <v>184</v>
      </c>
      <c r="G286" s="28">
        <v>39882.0</v>
      </c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30"/>
      <c r="T286" s="30"/>
      <c r="U286" s="30"/>
      <c r="V286" s="30"/>
      <c r="W286" s="30"/>
      <c r="X286" s="30"/>
      <c r="Y286" s="30"/>
      <c r="Z286" s="30"/>
    </row>
    <row r="287" ht="51.0" customHeight="1">
      <c r="A287" s="31" t="s">
        <v>773</v>
      </c>
      <c r="B287" s="32" t="str">
        <f>HYPERLINK("https://drive.google.com/file/d/1IvdUbb8Pil5TcNioC36zb9sm2o9NB-uJ/view?usp=sharing","ANÁLISE COMPARATIVA DO DESENVOLVIMENTO SOCIOECONÔMICO DO MUNICÍPIO DE ITAJUÍPE – BAHIA NO PERÍODO ENTRE 2000 E 2007")</f>
        <v>ANÁLISE COMPARATIVA DO DESENVOLVIMENTO SOCIOECONÔMICO DO MUNICÍPIO DE ITAJUÍPE – BAHIA NO PERÍODO ENTRE 2000 E 2007</v>
      </c>
      <c r="C287" s="33" t="s">
        <v>61</v>
      </c>
      <c r="D287" s="33" t="s">
        <v>774</v>
      </c>
      <c r="E287" s="33" t="s">
        <v>775</v>
      </c>
      <c r="F287" s="33" t="s">
        <v>16</v>
      </c>
      <c r="G287" s="34">
        <v>40147.0</v>
      </c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30"/>
      <c r="T287" s="30"/>
      <c r="U287" s="30"/>
      <c r="V287" s="30"/>
      <c r="W287" s="30"/>
      <c r="X287" s="30"/>
      <c r="Y287" s="30"/>
      <c r="Z287" s="30"/>
    </row>
    <row r="288" ht="38.25" customHeight="1">
      <c r="A288" s="25" t="s">
        <v>776</v>
      </c>
      <c r="B288" s="26" t="str">
        <f>HYPERLINK("https://drive.google.com/file/d/1SzuCWVal69ApEAjFTN1SDceXrTSMKVFb/view?usp=sharing","FORMAÇÃO INDUSTRIAL BRASILEIRA: UMA ABORDAGEM ECONÔMICA DA INDÚSTRIA NASCENTE AO II PND")</f>
        <v>FORMAÇÃO INDUSTRIAL BRASILEIRA: UMA ABORDAGEM ECONÔMICA DA INDÚSTRIA NASCENTE AO II PND</v>
      </c>
      <c r="C288" s="27" t="s">
        <v>301</v>
      </c>
      <c r="D288" s="27" t="s">
        <v>777</v>
      </c>
      <c r="E288" s="27" t="s">
        <v>778</v>
      </c>
      <c r="F288" s="27" t="s">
        <v>779</v>
      </c>
      <c r="G288" s="28">
        <v>40045.0</v>
      </c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30"/>
      <c r="T288" s="30"/>
      <c r="U288" s="30"/>
      <c r="V288" s="30"/>
      <c r="W288" s="30"/>
      <c r="X288" s="30"/>
      <c r="Y288" s="30"/>
      <c r="Z288" s="30"/>
    </row>
    <row r="289" ht="42.75" customHeight="1">
      <c r="A289" s="31" t="s">
        <v>780</v>
      </c>
      <c r="B289" s="32" t="str">
        <f>HYPERLINK("https://drive.google.com/file/d/1eCmU2Llr3Fu9ooO7TBzOO1gz1PUUEzIZ/view?usp=sharing","ANÁLISE DO SANEAMENTO BÁSICO DO MUNICÍPIO DE ARATACA – BAHIA 2009")</f>
        <v>ANÁLISE DO SANEAMENTO BÁSICO DO MUNICÍPIO DE ARATACA – BAHIA 2009</v>
      </c>
      <c r="C289" s="33" t="s">
        <v>23</v>
      </c>
      <c r="D289" s="33" t="s">
        <v>781</v>
      </c>
      <c r="E289" s="33" t="s">
        <v>782</v>
      </c>
      <c r="F289" s="33" t="s">
        <v>26</v>
      </c>
      <c r="G289" s="34">
        <v>40039.0</v>
      </c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30"/>
      <c r="T289" s="30"/>
      <c r="U289" s="30"/>
      <c r="V289" s="30"/>
      <c r="W289" s="30"/>
      <c r="X289" s="30"/>
      <c r="Y289" s="30"/>
      <c r="Z289" s="30"/>
    </row>
    <row r="290" ht="42.75" customHeight="1">
      <c r="A290" s="25" t="s">
        <v>783</v>
      </c>
      <c r="B290" s="26" t="str">
        <f>HYPERLINK("https://drive.google.com/file/d/1erFhEvHbuISlu7CfffYlxmFr6orsjOej/view?usp=sharing","PERFIL DA FAMÍLIA INTEGRANTE DO PROGRAMA BOLSA FAMÍLIA NO MUNICÍPIO DE ILHÉUS-BA, EM 2008")</f>
        <v>PERFIL DA FAMÍLIA INTEGRANTE DO PROGRAMA BOLSA FAMÍLIA NO MUNICÍPIO DE ILHÉUS-BA, EM 2008</v>
      </c>
      <c r="C290" s="27" t="s">
        <v>61</v>
      </c>
      <c r="D290" s="27" t="s">
        <v>784</v>
      </c>
      <c r="E290" s="27" t="s">
        <v>785</v>
      </c>
      <c r="F290" s="27" t="s">
        <v>114</v>
      </c>
      <c r="G290" s="28">
        <v>39876.0</v>
      </c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30"/>
      <c r="T290" s="30"/>
      <c r="U290" s="30"/>
      <c r="V290" s="30"/>
      <c r="W290" s="30"/>
      <c r="X290" s="30"/>
      <c r="Y290" s="30"/>
      <c r="Z290" s="30"/>
    </row>
    <row r="291" ht="42.75" customHeight="1">
      <c r="A291" s="31" t="s">
        <v>786</v>
      </c>
      <c r="B291" s="32" t="str">
        <f>HYPERLINK("https://drive.google.com/file/d/1hCeP0PeHXfh_dDV5Hdz_cEafOT3Mu88s/view?usp=sharing","PERFIL SÓCIO-ECONÔMICO DO TRABALHADOR INFORMAL LIGADO À ATIVIDADE DE MOTO-TÁXI NO BAIRRO SÃO CAETANO, ITABUNA-BAHIA")</f>
        <v>PERFIL SÓCIO-ECONÔMICO DO TRABALHADOR INFORMAL LIGADO À ATIVIDADE DE MOTO-TÁXI NO BAIRRO SÃO CAETANO, ITABUNA-BAHIA</v>
      </c>
      <c r="C291" s="33" t="s">
        <v>18</v>
      </c>
      <c r="D291" s="33" t="s">
        <v>787</v>
      </c>
      <c r="E291" s="33" t="s">
        <v>788</v>
      </c>
      <c r="F291" s="33" t="s">
        <v>356</v>
      </c>
      <c r="G291" s="34">
        <v>40014.0</v>
      </c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30"/>
      <c r="T291" s="30"/>
      <c r="U291" s="30"/>
      <c r="V291" s="30"/>
      <c r="W291" s="30"/>
      <c r="X291" s="30"/>
      <c r="Y291" s="30"/>
      <c r="Z291" s="30"/>
    </row>
    <row r="292" ht="63.75" customHeight="1">
      <c r="A292" s="25" t="s">
        <v>789</v>
      </c>
      <c r="B292" s="26" t="str">
        <f>HYPERLINK("https://drive.google.com/file/d/19aX-aFtWfC-iNo3JnZVhioMDPk-q5h43/view?usp=sharing","VALORAÇÃO ECONÔMICA DO TURISMO NAS PRAIAS DOS MUNICÍPIOS DE ILHÉUS E ITACARÉ, LOCALIZADOS NO ESTADO DA BAHIA: UMA ANÁLISE COMPARATIVA DA ALTA E BAIXA ESTAÇÃO DO ANO 2008")</f>
        <v>VALORAÇÃO ECONÔMICA DO TURISMO NAS PRAIAS DOS MUNICÍPIOS DE ILHÉUS E ITACARÉ, LOCALIZADOS NO ESTADO DA BAHIA: UMA ANÁLISE COMPARATIVA DA ALTA E BAIXA ESTAÇÃO DO ANO 2008</v>
      </c>
      <c r="C292" s="27" t="s">
        <v>33</v>
      </c>
      <c r="D292" s="27" t="s">
        <v>790</v>
      </c>
      <c r="E292" s="27" t="s">
        <v>791</v>
      </c>
      <c r="F292" s="27" t="s">
        <v>68</v>
      </c>
      <c r="G292" s="28">
        <v>40170.0</v>
      </c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30"/>
      <c r="T292" s="30"/>
      <c r="U292" s="30"/>
      <c r="V292" s="30"/>
      <c r="W292" s="30"/>
      <c r="X292" s="30"/>
      <c r="Y292" s="30"/>
      <c r="Z292" s="30"/>
    </row>
    <row r="293" ht="51.0" customHeight="1">
      <c r="A293" s="31" t="s">
        <v>792</v>
      </c>
      <c r="B293" s="32" t="str">
        <f>HYPERLINK("https://drive.google.com/file/d/1FB5-RGv3eZ4GfRzkRw957A86INEqQByz/view?usp=sharing","O TURISMO RECEPTIVO DE ILHÉUS E ITACARÉ (ESTADO DA BAHIA): UMA ANÁLISE COMPARATIVA EM CADA ESTAÇÃO DO ANO DE 2007")</f>
        <v>O TURISMO RECEPTIVO DE ILHÉUS E ITACARÉ (ESTADO DA BAHIA): UMA ANÁLISE COMPARATIVA EM CADA ESTAÇÃO DO ANO DE 2007</v>
      </c>
      <c r="C293" s="33" t="s">
        <v>33</v>
      </c>
      <c r="D293" s="33" t="s">
        <v>793</v>
      </c>
      <c r="E293" s="33" t="s">
        <v>794</v>
      </c>
      <c r="F293" s="33" t="s">
        <v>68</v>
      </c>
      <c r="G293" s="34">
        <v>39878.0</v>
      </c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30"/>
      <c r="T293" s="30"/>
      <c r="U293" s="30"/>
      <c r="V293" s="30"/>
      <c r="W293" s="30"/>
      <c r="X293" s="30"/>
      <c r="Y293" s="30"/>
      <c r="Z293" s="30"/>
    </row>
    <row r="294" ht="38.25" customHeight="1">
      <c r="A294" s="25" t="s">
        <v>795</v>
      </c>
      <c r="B294" s="26" t="str">
        <f>HYPERLINK("https://drive.google.com/file/d/1dVMuWTrg2He6PF5rEyLxjC6qCLboAITA/view?usp=sharing","ANÁLISE DO PRODUTO INTERNO BRUTO DO MUNICÍPIO DE ITABUNA – BAHIA ENTRE OS ANOS DE 2002 A 2006")</f>
        <v>ANÁLISE DO PRODUTO INTERNO BRUTO DO MUNICÍPIO DE ITABUNA – BAHIA ENTRE OS ANOS DE 2002 A 2006</v>
      </c>
      <c r="C294" s="27" t="s">
        <v>167</v>
      </c>
      <c r="D294" s="27" t="s">
        <v>796</v>
      </c>
      <c r="E294" s="27" t="s">
        <v>797</v>
      </c>
      <c r="F294" s="27" t="s">
        <v>540</v>
      </c>
      <c r="G294" s="28">
        <v>40038.0</v>
      </c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30"/>
      <c r="T294" s="30"/>
      <c r="U294" s="30"/>
      <c r="V294" s="30"/>
      <c r="W294" s="30"/>
      <c r="X294" s="30"/>
      <c r="Y294" s="30"/>
      <c r="Z294" s="30"/>
    </row>
    <row r="295" ht="57.0" customHeight="1">
      <c r="A295" s="31" t="s">
        <v>798</v>
      </c>
      <c r="B295" s="32" t="str">
        <f>HYPERLINK("https://drive.google.com/file/d/1HMp9Vm7djYCIuuEc_I2DaolZwV-xJ1uM/view?usp=sharing","A EVOLUÇÃO DO DÉFICIT NA PREVIDÊNCIA PÚBLICA BRASILEIRA NO PERÍODO DE 1995 – 2006")</f>
        <v>A EVOLUÇÃO DO DÉFICIT NA PREVIDÊNCIA PÚBLICA BRASILEIRA NO PERÍODO DE 1995 – 2006</v>
      </c>
      <c r="C295" s="33" t="s">
        <v>23</v>
      </c>
      <c r="D295" s="33" t="s">
        <v>799</v>
      </c>
      <c r="E295" s="33" t="s">
        <v>800</v>
      </c>
      <c r="F295" s="33" t="s">
        <v>184</v>
      </c>
      <c r="G295" s="34">
        <v>39881.0</v>
      </c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30"/>
      <c r="T295" s="30"/>
      <c r="U295" s="30"/>
      <c r="V295" s="30"/>
      <c r="W295" s="30"/>
      <c r="X295" s="30"/>
      <c r="Y295" s="30"/>
      <c r="Z295" s="30"/>
    </row>
    <row r="296" ht="51.0" customHeight="1">
      <c r="A296" s="25" t="s">
        <v>801</v>
      </c>
      <c r="B296" s="26" t="str">
        <f>HYPERLINK("https://drive.google.com/file/d/1XAG723By_VcS89Pva94aDHUcjsDkRWBO/view?usp=sharing","ESTRUTURA-CONDUTA-DESEMPENHO NO SETOR AUTOMOBILÍSTICO BRASILEIRO: UMA ANÁLISE DA PRODUÇÃO DOS AUTOMÓVEIS (2000 – 2008).")</f>
        <v>ESTRUTURA-CONDUTA-DESEMPENHO NO SETOR AUTOMOBILÍSTICO BRASILEIRO: UMA ANÁLISE DA PRODUÇÃO DOS AUTOMÓVEIS (2000 – 2008).</v>
      </c>
      <c r="C296" s="27" t="s">
        <v>301</v>
      </c>
      <c r="D296" s="27" t="s">
        <v>802</v>
      </c>
      <c r="E296" s="27" t="s">
        <v>803</v>
      </c>
      <c r="F296" s="27" t="s">
        <v>68</v>
      </c>
      <c r="G296" s="28">
        <v>40045.0</v>
      </c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30"/>
      <c r="T296" s="30"/>
      <c r="U296" s="30"/>
      <c r="V296" s="30"/>
      <c r="W296" s="30"/>
      <c r="X296" s="30"/>
      <c r="Y296" s="30"/>
      <c r="Z296" s="30"/>
    </row>
    <row r="297" ht="42.75" customHeight="1">
      <c r="A297" s="31" t="s">
        <v>804</v>
      </c>
      <c r="B297" s="32" t="str">
        <f>HYPERLINK("https://drive.google.com/file/d/1e6XN4FuVerS6eYQMgBEfNPoUzcUqQZnt/view?usp=sharing","ANÁLISE DA INFLUÊNCIA DA TAXA DE JUROS (SELIC) SOBRE O CRESCIMENTO ECONÔMICO BRASILEIRO NO PERÍODO DE 1999 A 2006.")</f>
        <v>ANÁLISE DA INFLUÊNCIA DA TAXA DE JUROS (SELIC) SOBRE O CRESCIMENTO ECONÔMICO BRASILEIRO NO PERÍODO DE 1999 A 2006.</v>
      </c>
      <c r="C297" s="33" t="s">
        <v>167</v>
      </c>
      <c r="D297" s="33" t="s">
        <v>805</v>
      </c>
      <c r="E297" s="33" t="s">
        <v>806</v>
      </c>
      <c r="F297" s="33" t="s">
        <v>170</v>
      </c>
      <c r="G297" s="34">
        <v>40037.0</v>
      </c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30"/>
      <c r="T297" s="30"/>
      <c r="U297" s="30"/>
      <c r="V297" s="30"/>
      <c r="W297" s="30"/>
      <c r="X297" s="30"/>
      <c r="Y297" s="30"/>
      <c r="Z297" s="30"/>
    </row>
    <row r="298" ht="42.75" customHeight="1">
      <c r="A298" s="25" t="s">
        <v>807</v>
      </c>
      <c r="B298" s="26" t="str">
        <f>HYPERLINK("https://drive.google.com/file/d/1gVmkLHTgTzn-YARrJjvuDjBOfQgubGKL/view?usp=sharing","OFERTA TURÍSTICA DO MUNICÍPIO DE ITACARÉ (BA): UMA ANÁLISE MULTIVARIADA DOS ANOS 2006 E 2007")</f>
        <v>OFERTA TURÍSTICA DO MUNICÍPIO DE ITACARÉ (BA): UMA ANÁLISE MULTIVARIADA DOS ANOS 2006 E 2007</v>
      </c>
      <c r="C298" s="27" t="s">
        <v>33</v>
      </c>
      <c r="D298" s="27" t="s">
        <v>808</v>
      </c>
      <c r="E298" s="27" t="s">
        <v>809</v>
      </c>
      <c r="F298" s="27" t="s">
        <v>36</v>
      </c>
      <c r="G298" s="28">
        <v>40170.0</v>
      </c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30"/>
      <c r="T298" s="30"/>
      <c r="U298" s="30"/>
      <c r="V298" s="30"/>
      <c r="W298" s="30"/>
      <c r="X298" s="30"/>
      <c r="Y298" s="30"/>
      <c r="Z298" s="30"/>
    </row>
    <row r="299" ht="63.75" customHeight="1">
      <c r="A299" s="31" t="s">
        <v>810</v>
      </c>
      <c r="B299" s="32" t="str">
        <f>HYPERLINK("https://drive.google.com/file/d/1Y0LkJLHK2HZRyo-SfjxOcRBKPC0rclCB/view?usp=sharing","COMPARATIVO DOS INDICADORES SOCIOECONÔMICOS DOS MUNICÍPIOS DE ILHÉUS E ITABUNA (BAHIA) NO PERÍODO DE 1990 A 2008, UTILIZANDO A ÓTICA DE AMARTYA SEN.")</f>
        <v>COMPARATIVO DOS INDICADORES SOCIOECONÔMICOS DOS MUNICÍPIOS DE ILHÉUS E ITABUNA (BAHIA) NO PERÍODO DE 1990 A 2008, UTILIZANDO A ÓTICA DE AMARTYA SEN.</v>
      </c>
      <c r="C299" s="33" t="s">
        <v>61</v>
      </c>
      <c r="D299" s="33" t="s">
        <v>811</v>
      </c>
      <c r="E299" s="33" t="s">
        <v>812</v>
      </c>
      <c r="F299" s="33" t="s">
        <v>685</v>
      </c>
      <c r="G299" s="34">
        <v>40247.0</v>
      </c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30"/>
      <c r="T299" s="30"/>
      <c r="U299" s="30"/>
      <c r="V299" s="30"/>
      <c r="W299" s="30"/>
      <c r="X299" s="30"/>
      <c r="Y299" s="30"/>
      <c r="Z299" s="30"/>
    </row>
    <row r="300" ht="51.0" customHeight="1">
      <c r="A300" s="25" t="s">
        <v>813</v>
      </c>
      <c r="B300" s="26" t="str">
        <f>HYPERLINK("https://drive.google.com/file/d/1AOKln1ngr9w7XUYcluHvk_fg5g89suNk/view?usp=sharing","NATUREZA DA CRISE ECONÔMICA NOS ESTADOS UNIDOS E SEUS IMPACTOS NA ECONOMIA BRASILEIRA, NO PERÍODO DE 2007 A 2009")</f>
        <v>NATUREZA DA CRISE ECONÔMICA NOS ESTADOS UNIDOS E SEUS IMPACTOS NA ECONOMIA BRASILEIRA, NO PERÍODO DE 2007 A 2009</v>
      </c>
      <c r="C300" s="27" t="s">
        <v>814</v>
      </c>
      <c r="D300" s="27" t="s">
        <v>815</v>
      </c>
      <c r="E300" s="27" t="s">
        <v>816</v>
      </c>
      <c r="F300" s="27" t="s">
        <v>147</v>
      </c>
      <c r="G300" s="28">
        <v>40031.0</v>
      </c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30"/>
      <c r="T300" s="30"/>
      <c r="U300" s="30"/>
      <c r="V300" s="30"/>
      <c r="W300" s="30"/>
      <c r="X300" s="30"/>
      <c r="Y300" s="30"/>
      <c r="Z300" s="30"/>
    </row>
    <row r="301" ht="51.0" customHeight="1">
      <c r="A301" s="31" t="s">
        <v>817</v>
      </c>
      <c r="B301" s="32" t="str">
        <f>HYPERLINK("https://drive.google.com/file/d/1uW2JAvthbfCd372O956cjQIcE7sN8J8V/view?usp=sharing","ESTUDO DA EVOLUÇÃO DA ECONOMIA BAIANA ATRAVÉS DA ANÁLISE DE ALGUNS INDICADORES ECONÔMICOS, NO PERÍODO DE 1997 A 2006")</f>
        <v>ESTUDO DA EVOLUÇÃO DA ECONOMIA BAIANA ATRAVÉS DA ANÁLISE DE ALGUNS INDICADORES ECONÔMICOS, NO PERÍODO DE 1997 A 2006</v>
      </c>
      <c r="C301" s="33" t="s">
        <v>61</v>
      </c>
      <c r="D301" s="33" t="s">
        <v>818</v>
      </c>
      <c r="E301" s="33" t="s">
        <v>819</v>
      </c>
      <c r="F301" s="33" t="s">
        <v>527</v>
      </c>
      <c r="G301" s="34">
        <v>40147.0</v>
      </c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30"/>
      <c r="T301" s="30"/>
      <c r="U301" s="30"/>
      <c r="V301" s="30"/>
      <c r="W301" s="30"/>
      <c r="X301" s="30"/>
      <c r="Y301" s="30"/>
      <c r="Z301" s="30"/>
    </row>
    <row r="302" ht="43.5" customHeight="1">
      <c r="A302" s="25" t="s">
        <v>820</v>
      </c>
      <c r="B302" s="26" t="str">
        <f>HYPERLINK("https://drive.google.com/file/d/1zSZv3wBqZvm2Hau47rNEeI0UNpnm5vP5/view?usp=sharing","GESTÃO AMBIENTAL E RESPONSABILIDADE SOCIAL EMPRESARIAL: UM PERFIL DAS AÇÕES DAS DEZ MAIORES EMPRESAS DO BRASIL")</f>
        <v>GESTÃO AMBIENTAL E RESPONSABILIDADE SOCIAL EMPRESARIAL: UM PERFIL DAS AÇÕES DAS DEZ MAIORES EMPRESAS DO BRASIL</v>
      </c>
      <c r="C302" s="27" t="s">
        <v>43</v>
      </c>
      <c r="D302" s="27"/>
      <c r="E302" s="27" t="s">
        <v>821</v>
      </c>
      <c r="F302" s="27" t="s">
        <v>729</v>
      </c>
      <c r="G302" s="28">
        <v>39874.0</v>
      </c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30"/>
      <c r="T302" s="30"/>
      <c r="U302" s="30"/>
      <c r="V302" s="30"/>
      <c r="W302" s="30"/>
      <c r="X302" s="30"/>
      <c r="Y302" s="30"/>
      <c r="Z302" s="30"/>
    </row>
    <row r="303" ht="51.0" customHeight="1">
      <c r="A303" s="25" t="s">
        <v>822</v>
      </c>
      <c r="B303" s="26" t="str">
        <f>HYPERLINK("https://drive.google.com/file/d/12SMX-2V_LT6yV1y78cn-AMs56XbA5sRm/view?usp=sharing","O TURISMO DO ESTADO DA BAHIA: UMA ANÁLISE DOS INDICADORES MACROECONÔMICOS NO PERÍODO DE 1998 A 2008.")</f>
        <v>O TURISMO DO ESTADO DA BAHIA: UMA ANÁLISE DOS INDICADORES MACROECONÔMICOS NO PERÍODO DE 1998 A 2008.</v>
      </c>
      <c r="C303" s="27" t="s">
        <v>33</v>
      </c>
      <c r="D303" s="27" t="s">
        <v>823</v>
      </c>
      <c r="E303" s="27" t="s">
        <v>824</v>
      </c>
      <c r="F303" s="27" t="s">
        <v>64</v>
      </c>
      <c r="G303" s="28">
        <v>40384.0</v>
      </c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30"/>
      <c r="T303" s="30"/>
      <c r="U303" s="30"/>
      <c r="V303" s="30"/>
      <c r="W303" s="30"/>
      <c r="X303" s="30"/>
      <c r="Y303" s="30"/>
      <c r="Z303" s="30"/>
    </row>
    <row r="304" ht="51.0" customHeight="1">
      <c r="A304" s="31" t="s">
        <v>825</v>
      </c>
      <c r="B304" s="32" t="str">
        <f>HYPERLINK("https://drive.google.com/file/d/1nXFgAN0KdaQm25yzxHPBhyzbCt8-ar5r/view?usp=sharing","O IMPACTO DA VERACEL NOS MUNICÍPIOS DA SUA ÁREA DE ATUAÇÃO: AVALIAÇÃO DO MODELO DE DESENVOLVIMENTO COM BASE NUMA ÚNICA EMPRESA")</f>
        <v>O IMPACTO DA VERACEL NOS MUNICÍPIOS DA SUA ÁREA DE ATUAÇÃO: AVALIAÇÃO DO MODELO DE DESENVOLVIMENTO COM BASE NUMA ÚNICA EMPRESA</v>
      </c>
      <c r="C304" s="33" t="s">
        <v>61</v>
      </c>
      <c r="D304" s="33" t="s">
        <v>826</v>
      </c>
      <c r="E304" s="33" t="s">
        <v>827</v>
      </c>
      <c r="F304" s="33" t="s">
        <v>147</v>
      </c>
      <c r="G304" s="34">
        <v>40196.0</v>
      </c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30"/>
      <c r="T304" s="30"/>
      <c r="U304" s="30"/>
      <c r="V304" s="30"/>
      <c r="W304" s="30"/>
      <c r="X304" s="30"/>
      <c r="Y304" s="30"/>
      <c r="Z304" s="30"/>
    </row>
    <row r="305" ht="51.0" customHeight="1">
      <c r="A305" s="25" t="s">
        <v>828</v>
      </c>
      <c r="B305" s="26" t="str">
        <f>HYPERLINK("https://drive.google.com/file/d/1FgJGaI_O0L9jvreH9S04255BmwP_n2Kt/view?usp=sharing","EMPREENDEDORISMO: ANÁLISE DA EDUCAÇÃO E INICIATIVA EMPREENDEDORA DOS JOVENS DO ENSINO MÉDIO DO MUNICÍPIO DE ITABUNA- BAHIA.")</f>
        <v>EMPREENDEDORISMO: ANÁLISE DA EDUCAÇÃO E INICIATIVA EMPREENDEDORA DOS JOVENS DO ENSINO MÉDIO DO MUNICÍPIO DE ITABUNA- BAHIA.</v>
      </c>
      <c r="C305" s="27" t="s">
        <v>380</v>
      </c>
      <c r="D305" s="27" t="s">
        <v>829</v>
      </c>
      <c r="E305" s="27" t="s">
        <v>830</v>
      </c>
      <c r="F305" s="27" t="s">
        <v>540</v>
      </c>
      <c r="G305" s="28">
        <v>40578.0</v>
      </c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30"/>
      <c r="T305" s="30"/>
      <c r="U305" s="30"/>
      <c r="V305" s="30"/>
      <c r="W305" s="30"/>
      <c r="X305" s="30"/>
      <c r="Y305" s="30"/>
      <c r="Z305" s="30"/>
    </row>
    <row r="306" ht="42.75" customHeight="1">
      <c r="A306" s="31" t="s">
        <v>831</v>
      </c>
      <c r="B306" s="32" t="str">
        <f>HYPERLINK("https://drive.google.com/file/d/1cm1h3DACUucZmg_ArKqyqdHhl8RxQqhq/view?usp=sharing","PLANEJAMENTO ESTRATÉGICO DO TURISMO DE ILHÉUS (2001): UMA ANÁLISE PELA ÓTICA DO PODER PÚBLICO E DOS AGENTES DO TURISMO")</f>
        <v>PLANEJAMENTO ESTRATÉGICO DO TURISMO DE ILHÉUS (2001): UMA ANÁLISE PELA ÓTICA DO PODER PÚBLICO E DOS AGENTES DO TURISMO</v>
      </c>
      <c r="C306" s="33" t="s">
        <v>33</v>
      </c>
      <c r="D306" s="33" t="s">
        <v>832</v>
      </c>
      <c r="E306" s="33" t="s">
        <v>833</v>
      </c>
      <c r="F306" s="33" t="s">
        <v>147</v>
      </c>
      <c r="G306" s="34">
        <v>40388.0</v>
      </c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30"/>
      <c r="T306" s="30"/>
      <c r="U306" s="30"/>
      <c r="V306" s="30"/>
      <c r="W306" s="30"/>
      <c r="X306" s="30"/>
      <c r="Y306" s="30"/>
      <c r="Z306" s="30"/>
    </row>
    <row r="307" ht="63.75" customHeight="1">
      <c r="A307" s="25" t="s">
        <v>834</v>
      </c>
      <c r="B307" s="26" t="str">
        <f>HYPERLINK("https://drive.google.com/file/d/15SoHqyDIHnqQCtgEz8ZkcVrDM2NTFFqf/view?usp=sharing","ANÁLISE DA CAPACIDADE FINANCEIRA E ECONÔMICA DA COOPERATIVA DE ECONOMIA E CRÉDITO MÚTUO DOS FUNCIONÁRIOS DA CEPLAC (COOPEC), LOCALIZADA NA REGIÃO SUL DA BAHIA NO PERÍODO DE 2004 A 2009.")</f>
        <v>ANÁLISE DA CAPACIDADE FINANCEIRA E ECONÔMICA DA COOPERATIVA DE ECONOMIA E CRÉDITO MÚTUO DOS FUNCIONÁRIOS DA CEPLAC (COOPEC), LOCALIZADA NA REGIÃO SUL DA BAHIA NO PERÍODO DE 2004 A 2009.</v>
      </c>
      <c r="C307" s="27" t="s">
        <v>276</v>
      </c>
      <c r="D307" s="27" t="s">
        <v>835</v>
      </c>
      <c r="E307" s="27" t="s">
        <v>836</v>
      </c>
      <c r="F307" s="27" t="s">
        <v>16</v>
      </c>
      <c r="G307" s="28">
        <v>40379.0</v>
      </c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30"/>
      <c r="T307" s="30"/>
      <c r="U307" s="30"/>
      <c r="V307" s="30"/>
      <c r="W307" s="30"/>
      <c r="X307" s="30"/>
      <c r="Y307" s="30"/>
      <c r="Z307" s="30"/>
    </row>
    <row r="308" ht="38.25" customHeight="1">
      <c r="A308" s="31" t="s">
        <v>837</v>
      </c>
      <c r="B308" s="32" t="str">
        <f>HYPERLINK("https://drive.google.com/file/d/1bFmT17dUzJRLGGgPQzotywB5VlS2Sv9C/view?usp=sharing","ANÁLISE DA QUALIDADE DE VIDA DOS BENEFICIÁRIOS DO PROGRAMA BOLSA FAMÍLIA NO MUNICÍPIO DE GANDU, BAHIA")</f>
        <v>ANÁLISE DA QUALIDADE DE VIDA DOS BENEFICIÁRIOS DO PROGRAMA BOLSA FAMÍLIA NO MUNICÍPIO DE GANDU, BAHIA</v>
      </c>
      <c r="C308" s="33" t="s">
        <v>137</v>
      </c>
      <c r="D308" s="33" t="s">
        <v>838</v>
      </c>
      <c r="E308" s="33" t="s">
        <v>839</v>
      </c>
      <c r="F308" s="33" t="s">
        <v>447</v>
      </c>
      <c r="G308" s="34">
        <v>40231.0</v>
      </c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30"/>
      <c r="T308" s="30"/>
      <c r="U308" s="30"/>
      <c r="V308" s="30"/>
      <c r="W308" s="30"/>
      <c r="X308" s="30"/>
      <c r="Y308" s="30"/>
      <c r="Z308" s="30"/>
    </row>
    <row r="309" ht="51.0" customHeight="1">
      <c r="A309" s="25" t="s">
        <v>840</v>
      </c>
      <c r="B309" s="26" t="str">
        <f>HYPERLINK("https://drive.google.com/file/d/15gD0Non3OY9kF-3JYmcH8pgTu3j7HiSY/view?usp=sharing","CERTIFICAÇÃO ISO 14001: UMA ADEQUAÇÃO DAS EMPRESAS BRASILEIRAS ÀS NORMAS AMBIENTAIS DE COMPETITIVIDADE INTERNACIONAL.")</f>
        <v>CERTIFICAÇÃO ISO 14001: UMA ADEQUAÇÃO DAS EMPRESAS BRASILEIRAS ÀS NORMAS AMBIENTAIS DE COMPETITIVIDADE INTERNACIONAL.</v>
      </c>
      <c r="C309" s="27" t="s">
        <v>43</v>
      </c>
      <c r="D309" s="27" t="s">
        <v>841</v>
      </c>
      <c r="E309" s="27" t="s">
        <v>842</v>
      </c>
      <c r="F309" s="27" t="s">
        <v>64</v>
      </c>
      <c r="G309" s="28">
        <v>40533.0</v>
      </c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30"/>
      <c r="T309" s="30"/>
      <c r="U309" s="30"/>
      <c r="V309" s="30"/>
      <c r="W309" s="30"/>
      <c r="X309" s="30"/>
      <c r="Y309" s="30"/>
      <c r="Z309" s="30"/>
    </row>
    <row r="310" ht="51.0" customHeight="1">
      <c r="A310" s="31" t="s">
        <v>843</v>
      </c>
      <c r="B310" s="32" t="str">
        <f>HYPERLINK("https://drive.google.com/file/d/1oBvTF-zrblhUJ2YBV7SvsmH0wLeIx-RM/view?usp=sharing","OS EMPREENDIMENTOS INFORMAIS E A MULHER: UM RECORTE DAS CLIENTES DO BANCO DO POVO NO MUNICÍPIO DE ITABUNA - BAHIA")</f>
        <v>OS EMPREENDIMENTOS INFORMAIS E A MULHER: UM RECORTE DAS CLIENTES DO BANCO DO POVO NO MUNICÍPIO DE ITABUNA - BAHIA</v>
      </c>
      <c r="C310" s="33" t="s">
        <v>61</v>
      </c>
      <c r="D310" s="33" t="s">
        <v>844</v>
      </c>
      <c r="E310" s="33" t="s">
        <v>845</v>
      </c>
      <c r="F310" s="33" t="s">
        <v>184</v>
      </c>
      <c r="G310" s="34">
        <v>40234.0</v>
      </c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30"/>
      <c r="T310" s="30"/>
      <c r="U310" s="30"/>
      <c r="V310" s="30"/>
      <c r="W310" s="30"/>
      <c r="X310" s="30"/>
      <c r="Y310" s="30"/>
      <c r="Z310" s="30"/>
    </row>
    <row r="311" ht="42.75" customHeight="1">
      <c r="A311" s="25" t="s">
        <v>846</v>
      </c>
      <c r="B311" s="26" t="str">
        <f>HYPERLINK("https://drive.google.com/file/d/1gEfJ8UiSfUVDnTj7TGciIFqoGr3O8__J/view?usp=sharing","ANÁLISE DO MERCADO DE COSMÉTICOS ÉTNICOS NO COMÉRCIO DE ITABUNA-BAHIA, 2009")</f>
        <v>ANÁLISE DO MERCADO DE COSMÉTICOS ÉTNICOS NO COMÉRCIO DE ITABUNA-BAHIA, 2009</v>
      </c>
      <c r="C311" s="27" t="s">
        <v>116</v>
      </c>
      <c r="D311" s="27" t="s">
        <v>847</v>
      </c>
      <c r="E311" s="27" t="s">
        <v>848</v>
      </c>
      <c r="F311" s="27" t="s">
        <v>613</v>
      </c>
      <c r="G311" s="28">
        <v>40234.0</v>
      </c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30"/>
      <c r="T311" s="30"/>
      <c r="U311" s="30"/>
      <c r="V311" s="30"/>
      <c r="W311" s="30"/>
      <c r="X311" s="30"/>
      <c r="Y311" s="30"/>
      <c r="Z311" s="30"/>
    </row>
    <row r="312" ht="51.0" customHeight="1">
      <c r="A312" s="31" t="s">
        <v>849</v>
      </c>
      <c r="B312" s="32" t="str">
        <f>HYPERLINK("https://drive.google.com/file/d/1yuqLK4g_6mSs4IBxW7LKe0kyC60hF5qa/view?usp=sharing","COMPORTAMENTO DOS PREÇOS DAS PRINCIPAIS OLEAGINOSAS CULTIVADAS NO ESTADO DA BAHIA PARA PRODUÇÃO DE BIODIESEL")</f>
        <v>COMPORTAMENTO DOS PREÇOS DAS PRINCIPAIS OLEAGINOSAS CULTIVADAS NO ESTADO DA BAHIA PARA PRODUÇÃO DE BIODIESEL</v>
      </c>
      <c r="C312" s="33" t="s">
        <v>47</v>
      </c>
      <c r="D312" s="33" t="s">
        <v>850</v>
      </c>
      <c r="E312" s="33" t="s">
        <v>851</v>
      </c>
      <c r="F312" s="33" t="s">
        <v>73</v>
      </c>
      <c r="G312" s="34">
        <v>40183.0</v>
      </c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30"/>
      <c r="T312" s="30"/>
      <c r="U312" s="30"/>
      <c r="V312" s="30"/>
      <c r="W312" s="30"/>
      <c r="X312" s="30"/>
      <c r="Y312" s="30"/>
      <c r="Z312" s="30"/>
    </row>
    <row r="313" ht="38.25" customHeight="1">
      <c r="A313" s="25" t="s">
        <v>852</v>
      </c>
      <c r="B313" s="26" t="str">
        <f>HYPERLINK("https://drive.google.com/file/d/1nqWwPzuZf4t13wQQA-XqswiqDmnDtVEr/view?usp=sharing","ANÁLISE DO DESEMPENHO E DA EFICIÊNCIA DO ÓLEO DE DENDÊ BRASILEIRO NO MERCADO INTERNACIONAL")</f>
        <v>ANÁLISE DO DESEMPENHO E DA EFICIÊNCIA DO ÓLEO DE DENDÊ BRASILEIRO NO MERCADO INTERNACIONAL</v>
      </c>
      <c r="C313" s="27" t="s">
        <v>47</v>
      </c>
      <c r="D313" s="27" t="s">
        <v>853</v>
      </c>
      <c r="E313" s="27" t="s">
        <v>854</v>
      </c>
      <c r="F313" s="27" t="s">
        <v>73</v>
      </c>
      <c r="G313" s="28">
        <v>40571.0</v>
      </c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30"/>
      <c r="T313" s="30"/>
      <c r="U313" s="30"/>
      <c r="V313" s="30"/>
      <c r="W313" s="30"/>
      <c r="X313" s="30"/>
      <c r="Y313" s="30"/>
      <c r="Z313" s="30"/>
    </row>
    <row r="314" ht="38.25" customHeight="1">
      <c r="A314" s="31" t="s">
        <v>855</v>
      </c>
      <c r="B314" s="32" t="str">
        <f>HYPERLINK("https://drive.google.com/file/d/1R_22vtqkeSfd7AtyKQmXucUREyUn92xf/view?usp=sharing","ANÁLISE DA INTERDEPENDÊNCIA ENTRE OS PREÇOS DA CESTA BÁSICA DAS CAPITAIS DO NORDESTE")</f>
        <v>ANÁLISE DA INTERDEPENDÊNCIA ENTRE OS PREÇOS DA CESTA BÁSICA DAS CAPITAIS DO NORDESTE</v>
      </c>
      <c r="C314" s="33" t="s">
        <v>116</v>
      </c>
      <c r="D314" s="33" t="s">
        <v>856</v>
      </c>
      <c r="E314" s="33" t="s">
        <v>857</v>
      </c>
      <c r="F314" s="33" t="s">
        <v>73</v>
      </c>
      <c r="G314" s="34">
        <v>40209.0</v>
      </c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30"/>
      <c r="T314" s="30"/>
      <c r="U314" s="30"/>
      <c r="V314" s="30"/>
      <c r="W314" s="30"/>
      <c r="X314" s="30"/>
      <c r="Y314" s="30"/>
      <c r="Z314" s="30"/>
    </row>
    <row r="315" ht="38.25" customHeight="1">
      <c r="A315" s="25" t="s">
        <v>858</v>
      </c>
      <c r="B315" s="26" t="str">
        <f>HYPERLINK("https://drive.google.com/file/d/1nm03nicnv5sDN55l8bdRryS-L3wBFkyk/view?usp=sharing","ANÁLISE DOS FATORES DETERMINANTES DA PRODUÇÃO BRASILEIRA DE CANA-DE-AÇÚCAR NO PERÍODO DE 1990 A 2008")</f>
        <v>ANÁLISE DOS FATORES DETERMINANTES DA PRODUÇÃO BRASILEIRA DE CANA-DE-AÇÚCAR NO PERÍODO DE 1990 A 2008</v>
      </c>
      <c r="C315" s="27" t="s">
        <v>47</v>
      </c>
      <c r="D315" s="27" t="s">
        <v>859</v>
      </c>
      <c r="E315" s="27" t="s">
        <v>860</v>
      </c>
      <c r="F315" s="27" t="s">
        <v>861</v>
      </c>
      <c r="G315" s="28">
        <v>40585.0</v>
      </c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30"/>
      <c r="T315" s="30"/>
      <c r="U315" s="30"/>
      <c r="V315" s="30"/>
      <c r="W315" s="30"/>
      <c r="X315" s="30"/>
      <c r="Y315" s="30"/>
      <c r="Z315" s="30"/>
    </row>
    <row r="316" ht="51.0" customHeight="1">
      <c r="A316" s="31" t="s">
        <v>862</v>
      </c>
      <c r="B316" s="32" t="str">
        <f>HYPERLINK("https://drive.google.com/file/d/1U6LcUH0KEl5i1-dbMfEvmpz9TU_D_LF_/view?usp=sharing","CREDIBILIDADE DA POLÍTICA MONETÁRIA BRASILEIRA: UMA ANÁLISE SOBRE O REGIME DE METAS DE INFLAÇÃO NO PERÍODO ENTRE 2000 E 2010.")</f>
        <v>CREDIBILIDADE DA POLÍTICA MONETÁRIA BRASILEIRA: UMA ANÁLISE SOBRE O REGIME DE METAS DE INFLAÇÃO NO PERÍODO ENTRE 2000 E 2010.</v>
      </c>
      <c r="C316" s="33" t="s">
        <v>13</v>
      </c>
      <c r="D316" s="33" t="s">
        <v>863</v>
      </c>
      <c r="E316" s="33" t="s">
        <v>864</v>
      </c>
      <c r="F316" s="33" t="s">
        <v>147</v>
      </c>
      <c r="G316" s="34">
        <v>40585.0</v>
      </c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30"/>
      <c r="T316" s="30"/>
      <c r="U316" s="30"/>
      <c r="V316" s="30"/>
      <c r="W316" s="30"/>
      <c r="X316" s="30"/>
      <c r="Y316" s="30"/>
      <c r="Z316" s="30"/>
    </row>
    <row r="317" ht="38.25" customHeight="1">
      <c r="A317" s="25" t="s">
        <v>865</v>
      </c>
      <c r="B317" s="26" t="str">
        <f>HYPERLINK("https://drive.google.com/file/d/1BHayQ9A50DoNj2lWNn-3dtS--aaOycuE/view?usp=sharing","ANÁLISE DA PRODUÇÃO DE MANGA E OS FATORES RESPONSÁVEIS POR SUA VARIAÇÃO NO ESTADO DA BAHIA ENTRE 1990 E 2006")</f>
        <v>ANÁLISE DA PRODUÇÃO DE MANGA E OS FATORES RESPONSÁVEIS POR SUA VARIAÇÃO NO ESTADO DA BAHIA ENTRE 1990 E 2006</v>
      </c>
      <c r="C317" s="27" t="s">
        <v>47</v>
      </c>
      <c r="D317" s="27" t="s">
        <v>866</v>
      </c>
      <c r="E317" s="27" t="s">
        <v>867</v>
      </c>
      <c r="F317" s="27" t="s">
        <v>861</v>
      </c>
      <c r="G317" s="28">
        <v>40235.0</v>
      </c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30"/>
      <c r="T317" s="30"/>
      <c r="U317" s="30"/>
      <c r="V317" s="30"/>
      <c r="W317" s="30"/>
      <c r="X317" s="30"/>
      <c r="Y317" s="30"/>
      <c r="Z317" s="30"/>
    </row>
    <row r="318" ht="51.0" customHeight="1">
      <c r="A318" s="31" t="s">
        <v>868</v>
      </c>
      <c r="B318" s="32" t="str">
        <f>HYPERLINK("https://drive.google.com/file/d/1Bsc2cV-00neiNjkv9vFUpUpm5tfaD2uf/view?usp=sharing","GASTOS COM A RAÇÃO ESSENCIAL MÍNIMA (CESTA BÁSICA) E RESTRIÇÃO ORÇAMENTÁRIA DOS CONSUMIDORES DA REGIÃO NORDESTE NO PERÍODO DE 2004 A 2009")</f>
        <v>GASTOS COM A RAÇÃO ESSENCIAL MÍNIMA (CESTA BÁSICA) E RESTRIÇÃO ORÇAMENTÁRIA DOS CONSUMIDORES DA REGIÃO NORDESTE NO PERÍODO DE 2004 A 2009</v>
      </c>
      <c r="C318" s="33" t="s">
        <v>116</v>
      </c>
      <c r="D318" s="33" t="s">
        <v>869</v>
      </c>
      <c r="E318" s="33" t="s">
        <v>870</v>
      </c>
      <c r="F318" s="33" t="s">
        <v>861</v>
      </c>
      <c r="G318" s="34">
        <v>40233.0</v>
      </c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30"/>
      <c r="T318" s="30"/>
      <c r="U318" s="30"/>
      <c r="V318" s="30"/>
      <c r="W318" s="30"/>
      <c r="X318" s="30"/>
      <c r="Y318" s="30"/>
      <c r="Z318" s="30"/>
    </row>
    <row r="319" ht="51.0" customHeight="1">
      <c r="A319" s="25" t="s">
        <v>871</v>
      </c>
      <c r="B319" s="26" t="str">
        <f>HYPERLINK("https://drive.google.com/file/d/1IKFHwDJgNkw33i999_HbcpPowvCgEalK/view?usp=sharing","EVOLUÇÃO E DINÂMICA DO MERCADO DE TRABALHO NO MUNICÍPIO DE ITABUNA (BAHIA) POR SETORES DE ATIVIDADES NO PERÍODO DE 2003 A 2009")</f>
        <v>EVOLUÇÃO E DINÂMICA DO MERCADO DE TRABALHO NO MUNICÍPIO DE ITABUNA (BAHIA) POR SETORES DE ATIVIDADES NO PERÍODO DE 2003 A 2009</v>
      </c>
      <c r="C319" s="27" t="s">
        <v>18</v>
      </c>
      <c r="D319" s="27" t="s">
        <v>872</v>
      </c>
      <c r="E319" s="27" t="s">
        <v>873</v>
      </c>
      <c r="F319" s="27" t="s">
        <v>147</v>
      </c>
      <c r="G319" s="28">
        <v>40386.0</v>
      </c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30"/>
      <c r="T319" s="30"/>
      <c r="U319" s="30"/>
      <c r="V319" s="30"/>
      <c r="W319" s="30"/>
      <c r="X319" s="30"/>
      <c r="Y319" s="30"/>
      <c r="Z319" s="30"/>
    </row>
    <row r="320" ht="42.75" customHeight="1">
      <c r="A320" s="31" t="s">
        <v>874</v>
      </c>
      <c r="B320" s="32" t="str">
        <f>HYPERLINK("https://drive.google.com/file/d/146BRFSD-OMuONClxw39WGduV77Qj01dq/view?usp=sharing","A MORTALIDADE DAS MICROEMPRESAS E EMPRESAS DE PEQUENO PORTE - MPE’S NO BRASIL, PERÍODO DE 2000 A 2005")</f>
        <v>A MORTALIDADE DAS MICROEMPRESAS E EMPRESAS DE PEQUENO PORTE - MPE’S NO BRASIL, PERÍODO DE 2000 A 2005</v>
      </c>
      <c r="C320" s="33" t="s">
        <v>410</v>
      </c>
      <c r="D320" s="33" t="s">
        <v>875</v>
      </c>
      <c r="E320" s="33" t="s">
        <v>876</v>
      </c>
      <c r="F320" s="33" t="s">
        <v>356</v>
      </c>
      <c r="G320" s="34">
        <v>40217.0</v>
      </c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30"/>
      <c r="T320" s="30"/>
      <c r="U320" s="30"/>
      <c r="V320" s="30"/>
      <c r="W320" s="30"/>
      <c r="X320" s="30"/>
      <c r="Y320" s="30"/>
      <c r="Z320" s="30"/>
    </row>
    <row r="321" ht="42.75" customHeight="1">
      <c r="A321" s="25" t="s">
        <v>877</v>
      </c>
      <c r="B321" s="26" t="str">
        <f>HYPERLINK("https://drive.google.com/file/d/1eRryEO5doUXevKxQloKyklJX0XP_-Uef/view?usp=sharing","A QUESTÃO DA AUTONOMIA DO BANCO CENTRAL: UMA REDISCUSSÃO BASEADA NAS TEORIAS ECONÔMICAS")</f>
        <v>A QUESTÃO DA AUTONOMIA DO BANCO CENTRAL: UMA REDISCUSSÃO BASEADA NAS TEORIAS ECONÔMICAS</v>
      </c>
      <c r="C321" s="27" t="s">
        <v>13</v>
      </c>
      <c r="D321" s="27" t="s">
        <v>878</v>
      </c>
      <c r="E321" s="27" t="s">
        <v>879</v>
      </c>
      <c r="F321" s="27" t="s">
        <v>147</v>
      </c>
      <c r="G321" s="28">
        <v>40246.0</v>
      </c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30"/>
      <c r="T321" s="30"/>
      <c r="U321" s="30"/>
      <c r="V321" s="30"/>
      <c r="W321" s="30"/>
      <c r="X321" s="30"/>
      <c r="Y321" s="30"/>
      <c r="Z321" s="30"/>
    </row>
    <row r="322" ht="51.0" customHeight="1">
      <c r="A322" s="31" t="s">
        <v>880</v>
      </c>
      <c r="B322" s="32" t="str">
        <f>HYPERLINK("https://drive.google.com/file/d/17DewWJU-b-J0hCSjLmW2jUFwGbOgK9hd/view?usp=sharing","INFLUÊNCIA DO PROGRAMA TARIFA SOCIAL SOBRE A POBREZA: UMA ANÁLISE DAS FAMÍLIAS BENEFICIADAS DO MUNICÍPIO DE BUERAREMA- BAHIA")</f>
        <v>INFLUÊNCIA DO PROGRAMA TARIFA SOCIAL SOBRE A POBREZA: UMA ANÁLISE DAS FAMÍLIAS BENEFICIADAS DO MUNICÍPIO DE BUERAREMA- BAHIA</v>
      </c>
      <c r="C322" s="33" t="s">
        <v>137</v>
      </c>
      <c r="D322" s="33" t="s">
        <v>881</v>
      </c>
      <c r="E322" s="33" t="s">
        <v>882</v>
      </c>
      <c r="F322" s="33" t="s">
        <v>685</v>
      </c>
      <c r="G322" s="34">
        <v>40248.0</v>
      </c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30"/>
      <c r="T322" s="30"/>
      <c r="U322" s="30"/>
      <c r="V322" s="30"/>
      <c r="W322" s="30"/>
      <c r="X322" s="30"/>
      <c r="Y322" s="30"/>
      <c r="Z322" s="30"/>
    </row>
    <row r="323" ht="42.75" customHeight="1">
      <c r="A323" s="25" t="s">
        <v>883</v>
      </c>
      <c r="B323" s="26" t="str">
        <f>HYPERLINK("https://drive.google.com/file/d/1LbBYUi4cpy5mtwg6yrlE_ZVkTygf5_7J/view?usp=sharing","A ANÁLISE DA EXECUÇÃO ORÇAMENTÁRIA DA SEGURIDADE SOCIAL NO BRASIL NO PERÍODO DE 2003 A 2009")</f>
        <v>A ANÁLISE DA EXECUÇÃO ORÇAMENTÁRIA DA SEGURIDADE SOCIAL NO BRASIL NO PERÍODO DE 2003 A 2009</v>
      </c>
      <c r="C323" s="27" t="s">
        <v>96</v>
      </c>
      <c r="D323" s="27" t="s">
        <v>884</v>
      </c>
      <c r="E323" s="27" t="s">
        <v>885</v>
      </c>
      <c r="F323" s="27" t="s">
        <v>685</v>
      </c>
      <c r="G323" s="28">
        <v>40533.0</v>
      </c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30"/>
      <c r="T323" s="30"/>
      <c r="U323" s="30"/>
      <c r="V323" s="30"/>
      <c r="W323" s="30"/>
      <c r="X323" s="30"/>
      <c r="Y323" s="30"/>
      <c r="Z323" s="30"/>
    </row>
    <row r="324" ht="42.75" customHeight="1">
      <c r="A324" s="31" t="s">
        <v>886</v>
      </c>
      <c r="B324" s="32" t="str">
        <f>HYPERLINK("https://drive.google.com/file/d/1X-zEl05b15LbMHctsx7KJLcarcj-EXLg/view?usp=sharing","ANÁLISE DA DINÂMICA COMERCIAL DO BAIRRO SÃO CAETANO NA CIDADE DE ITABUNA-BA, NO ANO DE 2009")</f>
        <v>ANÁLISE DA DINÂMICA COMERCIAL DO BAIRRO SÃO CAETANO NA CIDADE DE ITABUNA-BA, NO ANO DE 2009</v>
      </c>
      <c r="C324" s="33" t="s">
        <v>338</v>
      </c>
      <c r="D324" s="33" t="s">
        <v>887</v>
      </c>
      <c r="E324" s="33" t="s">
        <v>888</v>
      </c>
      <c r="F324" s="33" t="s">
        <v>613</v>
      </c>
      <c r="G324" s="34">
        <v>40232.0</v>
      </c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30"/>
      <c r="T324" s="30"/>
      <c r="U324" s="30"/>
      <c r="V324" s="30"/>
      <c r="W324" s="30"/>
      <c r="X324" s="30"/>
      <c r="Y324" s="30"/>
      <c r="Z324" s="30"/>
    </row>
    <row r="325" ht="42.75" customHeight="1">
      <c r="A325" s="25" t="s">
        <v>889</v>
      </c>
      <c r="B325" s="26" t="str">
        <f>HYPERLINK("https://drive.google.com/file/d/12KY33XXnVT_EcqjwRfusQlLVgaxCwX4H/view?usp=sharing","POLÍTICA MONETÁRIA DO BRASIL FRENTE À CRISE GLOBAL DE 2008")</f>
        <v>POLÍTICA MONETÁRIA DO BRASIL FRENTE À CRISE GLOBAL DE 2008</v>
      </c>
      <c r="C325" s="27" t="s">
        <v>13</v>
      </c>
      <c r="D325" s="27" t="s">
        <v>890</v>
      </c>
      <c r="E325" s="27" t="s">
        <v>891</v>
      </c>
      <c r="F325" s="27" t="s">
        <v>540</v>
      </c>
      <c r="G325" s="28">
        <v>40534.0</v>
      </c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30"/>
      <c r="T325" s="30"/>
      <c r="U325" s="30"/>
      <c r="V325" s="30"/>
      <c r="W325" s="30"/>
      <c r="X325" s="30"/>
      <c r="Y325" s="30"/>
      <c r="Z325" s="30"/>
    </row>
    <row r="326" ht="42.75" customHeight="1">
      <c r="A326" s="31" t="s">
        <v>892</v>
      </c>
      <c r="B326" s="32" t="str">
        <f>HYPERLINK("https://drive.google.com/file/d/1O_PhJSZBDjuQUuPzPkJk0mHNj7HxlKio/view?usp=sharing","UMA INVESTIGAÇÃO DO NÍVEL DE SATISFAÇÃO DO CONSUMIDOR NO SETOR DE FAST FOOD: O CASO DO MCDONALD’S EM ITABUNA – BA")</f>
        <v>UMA INVESTIGAÇÃO DO NÍVEL DE SATISFAÇÃO DO CONSUMIDOR NO SETOR DE FAST FOOD: O CASO DO MCDONALD’S EM ITABUNA – BA</v>
      </c>
      <c r="C326" s="33" t="s">
        <v>116</v>
      </c>
      <c r="D326" s="33" t="s">
        <v>893</v>
      </c>
      <c r="E326" s="33" t="s">
        <v>894</v>
      </c>
      <c r="F326" s="33" t="s">
        <v>895</v>
      </c>
      <c r="G326" s="34">
        <v>40584.0</v>
      </c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30"/>
      <c r="T326" s="30"/>
      <c r="U326" s="30"/>
      <c r="V326" s="30"/>
      <c r="W326" s="30"/>
      <c r="X326" s="30"/>
      <c r="Y326" s="30"/>
      <c r="Z326" s="30"/>
    </row>
    <row r="327" ht="57.0" customHeight="1">
      <c r="A327" s="25" t="s">
        <v>896</v>
      </c>
      <c r="B327" s="26" t="str">
        <f>HYPERLINK("https://drive.google.com/file/d/1_B2ttWqfhN2lM3tapm8sDEtU6y9666Ok/view?usp=sharing","CRESCIMENTO, AUGE E INFLEXÃO DO PROCESSO DE INDUSTRIALIZAÇÃO NO PAÍS: DOS ANOS DE 1930 À “DÉCADA PERDIDA”")</f>
        <v>CRESCIMENTO, AUGE E INFLEXÃO DO PROCESSO DE INDUSTRIALIZAÇÃO NO PAÍS: DOS ANOS DE 1930 À “DÉCADA PERDIDA”</v>
      </c>
      <c r="C327" s="27" t="s">
        <v>52</v>
      </c>
      <c r="D327" s="27" t="s">
        <v>897</v>
      </c>
      <c r="E327" s="27" t="s">
        <v>898</v>
      </c>
      <c r="F327" s="27" t="s">
        <v>473</v>
      </c>
      <c r="G327" s="28">
        <v>40235.0</v>
      </c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30"/>
      <c r="T327" s="30"/>
      <c r="U327" s="30"/>
      <c r="V327" s="30"/>
      <c r="W327" s="30"/>
      <c r="X327" s="30"/>
      <c r="Y327" s="30"/>
      <c r="Z327" s="30"/>
    </row>
    <row r="328" ht="51.0" customHeight="1">
      <c r="A328" s="31" t="s">
        <v>899</v>
      </c>
      <c r="B328" s="32" t="str">
        <f>HYPERLINK("https://drive.google.com/file/d/1Og8pe5wiE97KGY6Po7IF01AX601ViCSp/view?usp=sharing","CARACTERIZAÇÃO ECONÔMICA E SOCIAL DA MULHER INSERIDA NA GRADUAÇÃO DA UNIVERSIDADE ESTADUAL DE SANTA CRUZ (UESC), MUNICÍPIO DE ILHÉUS – BAHIA")</f>
        <v>CARACTERIZAÇÃO ECONÔMICA E SOCIAL DA MULHER INSERIDA NA GRADUAÇÃO DA UNIVERSIDADE ESTADUAL DE SANTA CRUZ (UESC), MUNICÍPIO DE ILHÉUS – BAHIA</v>
      </c>
      <c r="C328" s="33" t="s">
        <v>18</v>
      </c>
      <c r="D328" s="33" t="s">
        <v>900</v>
      </c>
      <c r="E328" s="33" t="s">
        <v>901</v>
      </c>
      <c r="F328" s="33" t="s">
        <v>64</v>
      </c>
      <c r="G328" s="34">
        <v>40532.0</v>
      </c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30"/>
      <c r="T328" s="30"/>
      <c r="U328" s="30"/>
      <c r="V328" s="30"/>
      <c r="W328" s="30"/>
      <c r="X328" s="30"/>
      <c r="Y328" s="30"/>
      <c r="Z328" s="30"/>
    </row>
    <row r="329" ht="51.0" customHeight="1">
      <c r="A329" s="25" t="s">
        <v>902</v>
      </c>
      <c r="B329" s="26" t="str">
        <f>HYPERLINK("https://drive.google.com/file/d/1-z9U5Sb8YObJ5zRz4uohKjfZzfCyidLd/view?usp=sharing","RACIONALIDADE DO CONSUMIDOR: UMA ANÁLISE DO CONSUMO DOS PRODUTOS QUE COMPÕEM A RAÇÃO ESSENCIAL MÍNIMA NA REDE DE SUPERMERCADO DE ILHÉUS, BAHIA")</f>
        <v>RACIONALIDADE DO CONSUMIDOR: UMA ANÁLISE DO CONSUMO DOS PRODUTOS QUE COMPÕEM A RAÇÃO ESSENCIAL MÍNIMA NA REDE DE SUPERMERCADO DE ILHÉUS, BAHIA</v>
      </c>
      <c r="C329" s="27" t="s">
        <v>116</v>
      </c>
      <c r="D329" s="27" t="s">
        <v>903</v>
      </c>
      <c r="E329" s="27" t="s">
        <v>904</v>
      </c>
      <c r="F329" s="27" t="s">
        <v>861</v>
      </c>
      <c r="G329" s="28">
        <v>40232.0</v>
      </c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30"/>
      <c r="T329" s="30"/>
      <c r="U329" s="30"/>
      <c r="V329" s="30"/>
      <c r="W329" s="30"/>
      <c r="X329" s="30"/>
      <c r="Y329" s="30"/>
      <c r="Z329" s="30"/>
    </row>
    <row r="330" ht="51.0" customHeight="1">
      <c r="A330" s="31" t="s">
        <v>905</v>
      </c>
      <c r="B330" s="32" t="str">
        <f>HYPERLINK("https://drive.google.com/file/d/1UOE2S_SB-BibU73PkDQpsyvuIH6vI4PU/view?usp=sharing","ANÁLISE DO COMPORTAMENTO DOS CONSUMIDORES EM RELAÇÃO AOS SERVIÇOS DO HIPERMERCADO BOMPREÇO NO MUNICÍPIO DE ITABUNA – BAHIA")</f>
        <v>ANÁLISE DO COMPORTAMENTO DOS CONSUMIDORES EM RELAÇÃO AOS SERVIÇOS DO HIPERMERCADO BOMPREÇO NO MUNICÍPIO DE ITABUNA – BAHIA</v>
      </c>
      <c r="C330" s="33" t="s">
        <v>116</v>
      </c>
      <c r="D330" s="33" t="s">
        <v>906</v>
      </c>
      <c r="E330" s="33" t="s">
        <v>907</v>
      </c>
      <c r="F330" s="33" t="s">
        <v>613</v>
      </c>
      <c r="G330" s="34">
        <v>40360.0</v>
      </c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30"/>
      <c r="T330" s="30"/>
      <c r="U330" s="30"/>
      <c r="V330" s="30"/>
      <c r="W330" s="30"/>
      <c r="X330" s="30"/>
      <c r="Y330" s="30"/>
      <c r="Z330" s="30"/>
    </row>
    <row r="331" ht="42.75" customHeight="1">
      <c r="A331" s="25" t="s">
        <v>908</v>
      </c>
      <c r="B331" s="26" t="str">
        <f>HYPERLINK("https://drive.google.com/file/d/1PePrsAUYelvaSWOSDRPZzPWajjeaFTI-/view?usp=sharing","DETERMINANTES DOS SALÁRIOS REAIS NA INDÚSTRIA DE TRANSFORMAÇÃO DA BAHIA NO PERÍODO DE 2001-2008: TEORIA E EVIDÊNCIAS")</f>
        <v>DETERMINANTES DOS SALÁRIOS REAIS NA INDÚSTRIA DE TRANSFORMAÇÃO DA BAHIA NO PERÍODO DE 2001-2008: TEORIA E EVIDÊNCIAS</v>
      </c>
      <c r="C331" s="27" t="s">
        <v>338</v>
      </c>
      <c r="D331" s="27" t="s">
        <v>909</v>
      </c>
      <c r="E331" s="27" t="s">
        <v>910</v>
      </c>
      <c r="F331" s="27" t="s">
        <v>861</v>
      </c>
      <c r="G331" s="28">
        <v>40233.0</v>
      </c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30"/>
      <c r="T331" s="30"/>
      <c r="U331" s="30"/>
      <c r="V331" s="30"/>
      <c r="W331" s="30"/>
      <c r="X331" s="30"/>
      <c r="Y331" s="30"/>
      <c r="Z331" s="30"/>
    </row>
    <row r="332" ht="42.75" customHeight="1">
      <c r="A332" s="31" t="s">
        <v>911</v>
      </c>
      <c r="B332" s="32" t="str">
        <f>HYPERLINK("https://drive.google.com/file/d/1L06nRYmV7TzCv3RU67DYIdMnUvCnI1RP/view?usp=sharing","FONTES DE CRESCIMENTO DA BORRACHA NATURAL NOS PÓLOS PRODUTORES DA BAHIA, UMA ANÁLISE DE 1990-2008")</f>
        <v>FONTES DE CRESCIMENTO DA BORRACHA NATURAL NOS PÓLOS PRODUTORES DA BAHIA, UMA ANÁLISE DE 1990-2008</v>
      </c>
      <c r="C332" s="33" t="s">
        <v>47</v>
      </c>
      <c r="D332" s="33" t="s">
        <v>912</v>
      </c>
      <c r="E332" s="33" t="s">
        <v>913</v>
      </c>
      <c r="F332" s="33" t="s">
        <v>613</v>
      </c>
      <c r="G332" s="34">
        <v>40234.0</v>
      </c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30"/>
      <c r="T332" s="30"/>
      <c r="U332" s="30"/>
      <c r="V332" s="30"/>
      <c r="W332" s="30"/>
      <c r="X332" s="30"/>
      <c r="Y332" s="30"/>
      <c r="Z332" s="30"/>
    </row>
    <row r="333" ht="28.5" customHeight="1">
      <c r="A333" s="25" t="s">
        <v>914</v>
      </c>
      <c r="B333" s="26" t="str">
        <f>HYPERLINK("https://drive.google.com/file/d/1vX2TjTV9KkDW36zvsQqBDAzFN7Bsl_HK/view?usp=sharing","ESTUDO ECONÔMICO DA CARCINICULTURA NO MUNICÍPIO DE CANAVIEIRAS, BAHIA")</f>
        <v>ESTUDO ECONÔMICO DA CARCINICULTURA NO MUNICÍPIO DE CANAVIEIRAS, BAHIA</v>
      </c>
      <c r="C333" s="27" t="s">
        <v>43</v>
      </c>
      <c r="D333" s="27" t="s">
        <v>915</v>
      </c>
      <c r="E333" s="27" t="s">
        <v>916</v>
      </c>
      <c r="F333" s="27" t="s">
        <v>73</v>
      </c>
      <c r="G333" s="28">
        <v>40571.0</v>
      </c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30"/>
      <c r="T333" s="30"/>
      <c r="U333" s="30"/>
      <c r="V333" s="30"/>
      <c r="W333" s="30"/>
      <c r="X333" s="30"/>
      <c r="Y333" s="30"/>
      <c r="Z333" s="30"/>
    </row>
    <row r="334" ht="51.0" customHeight="1">
      <c r="A334" s="31" t="s">
        <v>917</v>
      </c>
      <c r="B334" s="32" t="str">
        <f>HYPERLINK("https://drive.google.com/file/d/16of5tYd3mWj6upTf9HWezwyykqr0bsCl/view?usp=sharing","ANÁLISE DO PERFIL DOS FUNCIONÁRIOS DO BRADESCO, AGÊNCIA ILHÉUS, EM FACE DA REESTRUTURAÇÃO PRODUTIVA NO SETOR BANCÁRIO")</f>
        <v>ANÁLISE DO PERFIL DOS FUNCIONÁRIOS DO BRADESCO, AGÊNCIA ILHÉUS, EM FACE DA REESTRUTURAÇÃO PRODUTIVA NO SETOR BANCÁRIO</v>
      </c>
      <c r="C334" s="33" t="s">
        <v>111</v>
      </c>
      <c r="D334" s="33" t="s">
        <v>918</v>
      </c>
      <c r="E334" s="33" t="s">
        <v>919</v>
      </c>
      <c r="F334" s="33" t="s">
        <v>685</v>
      </c>
      <c r="G334" s="34">
        <v>40241.0</v>
      </c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30"/>
      <c r="T334" s="30"/>
      <c r="U334" s="30"/>
      <c r="V334" s="30"/>
      <c r="W334" s="30"/>
      <c r="X334" s="30"/>
      <c r="Y334" s="30"/>
      <c r="Z334" s="30"/>
    </row>
    <row r="335" ht="42.75" customHeight="1">
      <c r="A335" s="25" t="s">
        <v>920</v>
      </c>
      <c r="B335" s="26" t="str">
        <f>HYPERLINK("https://drive.google.com/file/d/1GS5R8ubQR0enjRM9JxKY37MW9NbW90vE/view?usp=sharing","BALANÇA COMERCIAL BRASILEIRA: UMA ANÁLISE DO SEU COMPORTAMENTO NO PERÍODO DE 2003 A 2008")</f>
        <v>BALANÇA COMERCIAL BRASILEIRA: UMA ANÁLISE DO SEU COMPORTAMENTO NO PERÍODO DE 2003 A 2008</v>
      </c>
      <c r="C335" s="27" t="s">
        <v>252</v>
      </c>
      <c r="D335" s="27" t="s">
        <v>921</v>
      </c>
      <c r="E335" s="27" t="s">
        <v>922</v>
      </c>
      <c r="F335" s="27" t="s">
        <v>540</v>
      </c>
      <c r="G335" s="28">
        <v>40430.0</v>
      </c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30"/>
      <c r="T335" s="30"/>
      <c r="U335" s="30"/>
      <c r="V335" s="30"/>
      <c r="W335" s="30"/>
      <c r="X335" s="30"/>
      <c r="Y335" s="30"/>
      <c r="Z335" s="30"/>
    </row>
    <row r="336" ht="63.75" customHeight="1">
      <c r="A336" s="31" t="s">
        <v>923</v>
      </c>
      <c r="B336" s="32" t="str">
        <f>HYPERLINK("https://drive.google.com/file/d/1cc7EaZTRL50ac0uVCphcfpAL-8fRIdhK/view?usp=sharing","CARACTERIZAÇÃO DA INADIMPLÊNCIA NO SEGMENTO DE PLANO FUNERÁRIO NA CIDADE DE ITABUNA – BAHIA: ESTUDO DE CASO DA EMPRESA ADMINISTRADORA DE PLANO FAMILIAR - SAF.")</f>
        <v>CARACTERIZAÇÃO DA INADIMPLÊNCIA NO SEGMENTO DE PLANO FUNERÁRIO NA CIDADE DE ITABUNA – BAHIA: ESTUDO DE CASO DA EMPRESA ADMINISTRADORA DE PLANO FAMILIAR - SAF.</v>
      </c>
      <c r="C336" s="33" t="s">
        <v>116</v>
      </c>
      <c r="D336" s="33" t="s">
        <v>924</v>
      </c>
      <c r="E336" s="33" t="s">
        <v>925</v>
      </c>
      <c r="F336" s="33" t="s">
        <v>861</v>
      </c>
      <c r="G336" s="34">
        <v>40527.0</v>
      </c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30"/>
      <c r="T336" s="30"/>
      <c r="U336" s="30"/>
      <c r="V336" s="30"/>
      <c r="W336" s="30"/>
      <c r="X336" s="30"/>
      <c r="Y336" s="30"/>
      <c r="Z336" s="30"/>
    </row>
    <row r="337" ht="38.25" customHeight="1">
      <c r="A337" s="25" t="s">
        <v>926</v>
      </c>
      <c r="B337" s="26" t="str">
        <f>HYPERLINK("https://drive.google.com/file/d/1zfluYtB6zQSfs45PvTLEGQN3qZLTdqJ2/view?usp=sharing","ANÁLISE DA PARTICIPAÇÃO FEMININA NO MERCADO DE TRABALHO NO ESTADO DA BAHIA NO PERÍODO DE 2001 A 2007")</f>
        <v>ANÁLISE DA PARTICIPAÇÃO FEMININA NO MERCADO DE TRABALHO NO ESTADO DA BAHIA NO PERÍODO DE 2001 A 2007</v>
      </c>
      <c r="C337" s="27" t="s">
        <v>18</v>
      </c>
      <c r="D337" s="27" t="s">
        <v>927</v>
      </c>
      <c r="E337" s="27" t="s">
        <v>928</v>
      </c>
      <c r="F337" s="27" t="s">
        <v>64</v>
      </c>
      <c r="G337" s="28">
        <v>40385.0</v>
      </c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30"/>
      <c r="T337" s="30"/>
      <c r="U337" s="30"/>
      <c r="V337" s="30"/>
      <c r="W337" s="30"/>
      <c r="X337" s="30"/>
      <c r="Y337" s="30"/>
      <c r="Z337" s="30"/>
    </row>
    <row r="338" ht="51.0" customHeight="1">
      <c r="A338" s="31" t="s">
        <v>929</v>
      </c>
      <c r="B338" s="32" t="str">
        <f>HYPERLINK("https://drive.google.com/file/d/1H9IFCt8AKdjFSEd9uGqdzNnzWspmd4vx/view?usp=sharing","A ESCOLHA PÚBLICA: ANÁLISE DOS MECANISMOS DA AÇÃO ESTATAL NO CENTRO DA CIDADE DE ITABUNA-BAHIA PARA O COMÉRCIO INFORMAL")</f>
        <v>A ESCOLHA PÚBLICA: ANÁLISE DOS MECANISMOS DA AÇÃO ESTATAL NO CENTRO DA CIDADE DE ITABUNA-BAHIA PARA O COMÉRCIO INFORMAL</v>
      </c>
      <c r="C338" s="33" t="s">
        <v>23</v>
      </c>
      <c r="D338" s="33" t="s">
        <v>930</v>
      </c>
      <c r="E338" s="33" t="s">
        <v>931</v>
      </c>
      <c r="F338" s="33" t="s">
        <v>184</v>
      </c>
      <c r="G338" s="34">
        <v>40234.0</v>
      </c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30"/>
      <c r="T338" s="30"/>
      <c r="U338" s="30"/>
      <c r="V338" s="30"/>
      <c r="W338" s="30"/>
      <c r="X338" s="30"/>
      <c r="Y338" s="30"/>
      <c r="Z338" s="30"/>
    </row>
    <row r="339" ht="42.75" customHeight="1">
      <c r="A339" s="25" t="s">
        <v>932</v>
      </c>
      <c r="B339" s="26" t="str">
        <f>HYPERLINK("https://drive.google.com/file/d/1jJgVkFhOpCL1KEJgBAklNBJ5eng7zekR/view?usp=sharing","ESTRUTURA DE CONSUMO FAMILIAR DO BAIRRO SANTA HELENA, MUNICÍPIO DE BUERAREMA (BAHIA)")</f>
        <v>ESTRUTURA DE CONSUMO FAMILIAR DO BAIRRO SANTA HELENA, MUNICÍPIO DE BUERAREMA (BAHIA)</v>
      </c>
      <c r="C339" s="27" t="s">
        <v>137</v>
      </c>
      <c r="D339" s="27" t="s">
        <v>933</v>
      </c>
      <c r="E339" s="27" t="s">
        <v>934</v>
      </c>
      <c r="F339" s="27" t="s">
        <v>613</v>
      </c>
      <c r="G339" s="28">
        <v>40513.0</v>
      </c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30"/>
      <c r="T339" s="30"/>
      <c r="U339" s="30"/>
      <c r="V339" s="30"/>
      <c r="W339" s="30"/>
      <c r="X339" s="30"/>
      <c r="Y339" s="30"/>
      <c r="Z339" s="30"/>
    </row>
    <row r="340" ht="28.5" customHeight="1">
      <c r="A340" s="31" t="s">
        <v>935</v>
      </c>
      <c r="B340" s="32" t="str">
        <f>HYPERLINK("https://drive.google.com/file/d/1oiWNwV2BSaR8dcSHhfHL0pWydGyq7KDX/view?usp=sharing","RESPONSABILIDADE SOCIAL NAS EMPRESAS: O FOCO NOS CONDICIONANTES ECONÔMICOS")</f>
        <v>RESPONSABILIDADE SOCIAL NAS EMPRESAS: O FOCO NOS CONDICIONANTES ECONÔMICOS</v>
      </c>
      <c r="C340" s="33" t="s">
        <v>43</v>
      </c>
      <c r="D340" s="33" t="s">
        <v>936</v>
      </c>
      <c r="E340" s="33" t="s">
        <v>937</v>
      </c>
      <c r="F340" s="33" t="s">
        <v>64</v>
      </c>
      <c r="G340" s="34">
        <v>40490.0</v>
      </c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30"/>
      <c r="T340" s="30"/>
      <c r="U340" s="30"/>
      <c r="V340" s="30"/>
      <c r="W340" s="30"/>
      <c r="X340" s="30"/>
      <c r="Y340" s="30"/>
      <c r="Z340" s="30"/>
    </row>
    <row r="341" ht="64.5" customHeight="1">
      <c r="A341" s="25" t="s">
        <v>938</v>
      </c>
      <c r="B341" s="26" t="str">
        <f>HYPERLINK("https://drive.google.com/file/d/14lNSvcezOjBI7JlGL_WHPLcGYhDWu1H3/view?usp=sharing","ANÁLISE SOCIOECONÔMICA DA MÃO-DE-OBRA NOS SERVIÇOS TURÍSTICOS DE ALOJAMENTO, ALIMENTAÇÃO E BEBIDAS DO DISTRITO SERRA GRANDE NO MUNICÍPIO DE URUÇUCA - BAHIA EM 2009")</f>
        <v>ANÁLISE SOCIOECONÔMICA DA MÃO-DE-OBRA NOS SERVIÇOS TURÍSTICOS DE ALOJAMENTO, ALIMENTAÇÃO E BEBIDAS DO DISTRITO SERRA GRANDE NO MUNICÍPIO DE URUÇUCA - BAHIA EM 2009</v>
      </c>
      <c r="C341" s="27" t="s">
        <v>33</v>
      </c>
      <c r="D341" s="27" t="s">
        <v>939</v>
      </c>
      <c r="E341" s="27" t="s">
        <v>940</v>
      </c>
      <c r="F341" s="27" t="s">
        <v>68</v>
      </c>
      <c r="G341" s="28">
        <v>40214.0</v>
      </c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30"/>
      <c r="T341" s="30"/>
      <c r="U341" s="30"/>
      <c r="V341" s="30"/>
      <c r="W341" s="30"/>
      <c r="X341" s="30"/>
      <c r="Y341" s="30"/>
      <c r="Z341" s="30"/>
    </row>
    <row r="342" ht="51.0" customHeight="1">
      <c r="A342" s="25" t="s">
        <v>941</v>
      </c>
      <c r="B342" s="26" t="str">
        <f>HYPERLINK("https://drive.google.com/file/d/13zmks1aKzgPEeBN7-VCmq8JsZ38JrqmR/view?usp=sharing","POLÍTICA SOCIAL COMPENSATÓRIA OU EMANCIPATÓRIA: ANÁLISE DA CONTRIBUIÇÃO DOS PROGRAMAS SOCIAIS PARA A AUTONOMIA DOS BENEFICIÁRIOS.")</f>
        <v>POLÍTICA SOCIAL COMPENSATÓRIA OU EMANCIPATÓRIA: ANÁLISE DA CONTRIBUIÇÃO DOS PROGRAMAS SOCIAIS PARA A AUTONOMIA DOS BENEFICIÁRIOS.</v>
      </c>
      <c r="C342" s="27" t="s">
        <v>137</v>
      </c>
      <c r="D342" s="27" t="s">
        <v>942</v>
      </c>
      <c r="E342" s="27" t="s">
        <v>943</v>
      </c>
      <c r="F342" s="27" t="s">
        <v>685</v>
      </c>
      <c r="G342" s="28">
        <v>40585.0</v>
      </c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30"/>
      <c r="T342" s="30"/>
      <c r="U342" s="30"/>
      <c r="V342" s="30"/>
      <c r="W342" s="30"/>
      <c r="X342" s="30"/>
      <c r="Y342" s="30"/>
      <c r="Z342" s="30"/>
    </row>
    <row r="343" ht="42.75" customHeight="1">
      <c r="A343" s="31" t="s">
        <v>944</v>
      </c>
      <c r="B343" s="32" t="str">
        <f>HYPERLINK("https://drive.google.com/file/d/1mkoJtseuIpyppDm2LErxdW1rxDj4wZY8/view?usp=sharing","VIABILIDADE ECONÔMICA E FINANCEIRA DA IMPLANTAÇÃO DE UM LATICÍNIO EM COARACI, BAHIA.")</f>
        <v>VIABILIDADE ECONÔMICA E FINANCEIRA DA IMPLANTAÇÃO DE UM LATICÍNIO EM COARACI, BAHIA.</v>
      </c>
      <c r="C343" s="33" t="s">
        <v>116</v>
      </c>
      <c r="D343" s="33" t="s">
        <v>945</v>
      </c>
      <c r="E343" s="33" t="s">
        <v>946</v>
      </c>
      <c r="F343" s="33" t="s">
        <v>947</v>
      </c>
      <c r="G343" s="34">
        <v>40792.0</v>
      </c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30"/>
      <c r="T343" s="30"/>
      <c r="U343" s="30"/>
      <c r="V343" s="30"/>
      <c r="W343" s="30"/>
      <c r="X343" s="30"/>
      <c r="Y343" s="30"/>
      <c r="Z343" s="30"/>
    </row>
    <row r="344" ht="42.75" customHeight="1">
      <c r="A344" s="25" t="s">
        <v>948</v>
      </c>
      <c r="B344" s="26" t="str">
        <f>HYPERLINK("https://drive.google.com/file/d/1Yq1JQEc4bwKfG2SMGQ21b6k1wBG_0lWN/view?usp=sharing","REGIMES CAMBIAIS E SUAS IMPLICAÇÕES SOBRE A BALANÇA COMERCIAL BRASILEIRA NO PERÍODO DE 1994 A 2008")</f>
        <v>REGIMES CAMBIAIS E SUAS IMPLICAÇÕES SOBRE A BALANÇA COMERCIAL BRASILEIRA NO PERÍODO DE 1994 A 2008</v>
      </c>
      <c r="C344" s="27" t="s">
        <v>252</v>
      </c>
      <c r="D344" s="27" t="s">
        <v>949</v>
      </c>
      <c r="E344" s="27" t="s">
        <v>950</v>
      </c>
      <c r="F344" s="27" t="s">
        <v>244</v>
      </c>
      <c r="G344" s="28">
        <v>40585.0</v>
      </c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30"/>
      <c r="T344" s="30"/>
      <c r="U344" s="30"/>
      <c r="V344" s="30"/>
      <c r="W344" s="30"/>
      <c r="X344" s="30"/>
      <c r="Y344" s="30"/>
      <c r="Z344" s="30"/>
    </row>
    <row r="345" ht="51.0" customHeight="1">
      <c r="A345" s="31" t="s">
        <v>951</v>
      </c>
      <c r="B345" s="32" t="str">
        <f>HYPERLINK("https://drive.google.com/file/d/1V80639I6ncMXrGUnTzIyYBBhPO4Q2ha1/view?usp=sharing","INDICADORES MACROECONÔMICOS DO TURISMO DOS PRINCIPAIS DESTINOS LITORÂNEOS DA BAHIA, NO PERÍODO DE 1998 ATÉ 2008.")</f>
        <v>INDICADORES MACROECONÔMICOS DO TURISMO DOS PRINCIPAIS DESTINOS LITORÂNEOS DA BAHIA, NO PERÍODO DE 1998 ATÉ 2008.</v>
      </c>
      <c r="C345" s="33" t="s">
        <v>33</v>
      </c>
      <c r="D345" s="33" t="s">
        <v>952</v>
      </c>
      <c r="E345" s="33" t="s">
        <v>953</v>
      </c>
      <c r="F345" s="33" t="s">
        <v>147</v>
      </c>
      <c r="G345" s="34">
        <v>40816.0</v>
      </c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30"/>
      <c r="T345" s="30"/>
      <c r="U345" s="30"/>
      <c r="V345" s="30"/>
      <c r="W345" s="30"/>
      <c r="X345" s="30"/>
      <c r="Y345" s="30"/>
      <c r="Z345" s="30"/>
    </row>
    <row r="346" ht="54.0" customHeight="1">
      <c r="A346" s="25" t="s">
        <v>954</v>
      </c>
      <c r="B346" s="26" t="str">
        <f>HYPERLINK("https://drive.google.com/file/d/1c19jcpHs05XoKwFew5cMuwyCf-1DdDoZ/view?usp=sharing","OS FATORES DETERMINANTES DA OFERTA TURÍSTICA DO MUNICÍPIO DE ILHÉUS (BAHIA) SOB A PERSPECTIVA DOS RESIDENTES, EM 2010.")</f>
        <v>OS FATORES DETERMINANTES DA OFERTA TURÍSTICA DO MUNICÍPIO DE ILHÉUS (BAHIA) SOB A PERSPECTIVA DOS RESIDENTES, EM 2010.</v>
      </c>
      <c r="C346" s="27" t="s">
        <v>33</v>
      </c>
      <c r="D346" s="27" t="s">
        <v>955</v>
      </c>
      <c r="E346" s="27" t="s">
        <v>956</v>
      </c>
      <c r="F346" s="27" t="s">
        <v>64</v>
      </c>
      <c r="G346" s="28">
        <v>40805.0</v>
      </c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30"/>
      <c r="T346" s="30"/>
      <c r="U346" s="30"/>
      <c r="V346" s="30"/>
      <c r="W346" s="30"/>
      <c r="X346" s="30"/>
      <c r="Y346" s="30"/>
      <c r="Z346" s="30"/>
    </row>
    <row r="347" ht="28.5" customHeight="1">
      <c r="A347" s="49">
        <v>40695.0</v>
      </c>
      <c r="B347" s="32" t="str">
        <f>HYPERLINK("https://drive.google.com/file/d/1xwcSpnzMa_ujCS_wtBzyx5Zk8vCWCE9y/view?usp=sharing","UM PANORAMA DA POLÍTICA FISCAL NO BRASIL NOS ÚLTIMOS 20 ANOS")</f>
        <v>UM PANORAMA DA POLÍTICA FISCAL NO BRASIL NOS ÚLTIMOS 20 ANOS</v>
      </c>
      <c r="C347" s="33" t="s">
        <v>957</v>
      </c>
      <c r="D347" s="33" t="s">
        <v>958</v>
      </c>
      <c r="E347" s="33" t="s">
        <v>959</v>
      </c>
      <c r="F347" s="33" t="s">
        <v>540</v>
      </c>
      <c r="G347" s="34">
        <v>40585.0</v>
      </c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30"/>
      <c r="T347" s="30"/>
      <c r="U347" s="30"/>
      <c r="V347" s="30"/>
      <c r="W347" s="30"/>
      <c r="X347" s="30"/>
      <c r="Y347" s="30"/>
      <c r="Z347" s="30"/>
    </row>
    <row r="348" ht="28.5" customHeight="1">
      <c r="A348" s="25" t="s">
        <v>960</v>
      </c>
      <c r="B348" s="26" t="str">
        <f>HYPERLINK("https://drive.google.com/file/d/1hy1Kp_7GRppvhN1MCaVbnKGuoqdBd3xb/view?usp=sharing","ESTUDO DO MERCADO DE ACARAJÉ NO MUNICÍPIO DE ITABUNA-BAHIA")</f>
        <v>ESTUDO DO MERCADO DE ACARAJÉ NO MUNICÍPIO DE ITABUNA-BAHIA</v>
      </c>
      <c r="C348" s="27" t="s">
        <v>116</v>
      </c>
      <c r="D348" s="27" t="s">
        <v>961</v>
      </c>
      <c r="E348" s="27" t="s">
        <v>962</v>
      </c>
      <c r="F348" s="27" t="s">
        <v>963</v>
      </c>
      <c r="G348" s="28">
        <v>40557.0</v>
      </c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30"/>
      <c r="T348" s="30"/>
      <c r="U348" s="30"/>
      <c r="V348" s="30"/>
      <c r="W348" s="30"/>
      <c r="X348" s="30"/>
      <c r="Y348" s="30"/>
      <c r="Z348" s="30"/>
    </row>
    <row r="349" ht="42.75" customHeight="1">
      <c r="A349" s="31" t="s">
        <v>964</v>
      </c>
      <c r="B349" s="32" t="str">
        <f>HYPERLINK("https://drive.google.com/file/d/1ClrVh0ikJMF4yRslvq0uzGTvUASYrUxC/view?usp=sharing","MEDIDAS ANTICÍCLICAS ADOTADAS PELO GOVERNO BRASILEIRO NA CRISE FINANCEIRA DE 2008")</f>
        <v>MEDIDAS ANTICÍCLICAS ADOTADAS PELO GOVERNO BRASILEIRO NA CRISE FINANCEIRA DE 2008</v>
      </c>
      <c r="C349" s="33" t="s">
        <v>167</v>
      </c>
      <c r="D349" s="33" t="s">
        <v>965</v>
      </c>
      <c r="E349" s="33" t="s">
        <v>966</v>
      </c>
      <c r="F349" s="33" t="s">
        <v>685</v>
      </c>
      <c r="G349" s="34">
        <v>40585.0</v>
      </c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30"/>
      <c r="T349" s="30"/>
      <c r="U349" s="30"/>
      <c r="V349" s="30"/>
      <c r="W349" s="30"/>
      <c r="X349" s="30"/>
      <c r="Y349" s="30"/>
      <c r="Z349" s="30"/>
    </row>
    <row r="350" ht="38.25" customHeight="1">
      <c r="A350" s="25" t="s">
        <v>967</v>
      </c>
      <c r="B350" s="26" t="str">
        <f>HYPERLINK("https://drive.google.com/file/d/1QgkkmUGQjs0iqZzsjDQw_fT1K97C5X-c/view?usp=sharing","ANÁLISE DOS PRINCIPAIS ASPECTOS DO CONSUMO DE ÁGUA NO MUNICÍPIO DE COARACI – BAHIA, EM 2010.")</f>
        <v>ANÁLISE DOS PRINCIPAIS ASPECTOS DO CONSUMO DE ÁGUA NO MUNICÍPIO DE COARACI – BAHIA, EM 2010.</v>
      </c>
      <c r="C350" s="27" t="s">
        <v>43</v>
      </c>
      <c r="D350" s="27" t="s">
        <v>968</v>
      </c>
      <c r="E350" s="27" t="s">
        <v>969</v>
      </c>
      <c r="F350" s="27" t="s">
        <v>963</v>
      </c>
      <c r="G350" s="28">
        <v>40816.0</v>
      </c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30"/>
      <c r="T350" s="30"/>
      <c r="U350" s="30"/>
      <c r="V350" s="30"/>
      <c r="W350" s="30"/>
      <c r="X350" s="30"/>
      <c r="Y350" s="30"/>
      <c r="Z350" s="30"/>
    </row>
    <row r="351" ht="51.0" customHeight="1">
      <c r="A351" s="50">
        <v>40817.0</v>
      </c>
      <c r="B351" s="32" t="str">
        <f>HYPERLINK("https://drive.google.com/file/d/1y6uaMIGffXBXlyyxzbnKsHRB1UB2k5Be/view?usp=sharing","ANÁLISE DA PARTICIPAÇÃO DO SETOR DE SERVIÇOS NA DINAMICA ECONÔMICA DO MUNICÍPIO DE ILHÉUS NOS ANOS DE 2000 A 2008.")</f>
        <v>ANÁLISE DA PARTICIPAÇÃO DO SETOR DE SERVIÇOS NA DINAMICA ECONÔMICA DO MUNICÍPIO DE ILHÉUS NOS ANOS DE 2000 A 2008.</v>
      </c>
      <c r="C351" s="33" t="s">
        <v>111</v>
      </c>
      <c r="D351" s="33" t="s">
        <v>970</v>
      </c>
      <c r="E351" s="33" t="s">
        <v>971</v>
      </c>
      <c r="F351" s="33" t="s">
        <v>147</v>
      </c>
      <c r="G351" s="34">
        <v>40812.0</v>
      </c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30"/>
      <c r="T351" s="30"/>
      <c r="U351" s="30"/>
      <c r="V351" s="30"/>
      <c r="W351" s="30"/>
      <c r="X351" s="30"/>
      <c r="Y351" s="30"/>
      <c r="Z351" s="30"/>
    </row>
    <row r="352" ht="63.75" customHeight="1">
      <c r="A352" s="25" t="s">
        <v>972</v>
      </c>
      <c r="B352" s="26" t="str">
        <f>HYPERLINK("https://drive.google.com/file/d/1A6x9F8v5KSeB-SGhRy2YItEr0HPa1aZ9/view?usp=sharing","A RELEVÂNCIA ECONÔMICA DOS BENEFÍCIOS PREVIDENCIÁRIOS PAGOS NO MUNICÍPIO DE ITAJUÍPE- BAHIA EM COMPARAÇÃO COM O FUNDO DE PARTICIPAÇÃO DOS MUNICÍPIOS, 2000 A 2006")</f>
        <v>A RELEVÂNCIA ECONÔMICA DOS BENEFÍCIOS PREVIDENCIÁRIOS PAGOS NO MUNICÍPIO DE ITAJUÍPE- BAHIA EM COMPARAÇÃO COM O FUNDO DE PARTICIPAÇÃO DOS MUNICÍPIOS, 2000 A 2006</v>
      </c>
      <c r="C352" s="27" t="s">
        <v>23</v>
      </c>
      <c r="D352" s="27" t="s">
        <v>973</v>
      </c>
      <c r="E352" s="27" t="s">
        <v>974</v>
      </c>
      <c r="F352" s="27" t="s">
        <v>147</v>
      </c>
      <c r="G352" s="28">
        <v>40815.0</v>
      </c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30"/>
      <c r="T352" s="30"/>
      <c r="U352" s="30"/>
      <c r="V352" s="30"/>
      <c r="W352" s="30"/>
      <c r="X352" s="30"/>
      <c r="Y352" s="30"/>
      <c r="Z352" s="30"/>
    </row>
    <row r="353" ht="63.75" customHeight="1">
      <c r="A353" s="31" t="s">
        <v>975</v>
      </c>
      <c r="B353" s="32" t="str">
        <f>HYPERLINK("https://drive.google.com/file/d/1cc-fvdP5fSg4im2ws7EIWnF5rHwY29v2/view?usp=sharing","ECONOMIA SOLIDÁRIA E DESENVOLVIMENTO LOCAL: UMA REFLEXÃO A PARTIR DAS AÇÕES DA INCUBADORA BAIANA DE EMPREENDIMENTOS ECONÔMICOS SOLIDÁRIOS – IBEES, ENTRE 2009 E 2010.")</f>
        <v>ECONOMIA SOLIDÁRIA E DESENVOLVIMENTO LOCAL: UMA REFLEXÃO A PARTIR DAS AÇÕES DA INCUBADORA BAIANA DE EMPREENDIMENTOS ECONÔMICOS SOLIDÁRIOS – IBEES, ENTRE 2009 E 2010.</v>
      </c>
      <c r="C353" s="33" t="s">
        <v>276</v>
      </c>
      <c r="D353" s="33" t="s">
        <v>976</v>
      </c>
      <c r="E353" s="33" t="s">
        <v>977</v>
      </c>
      <c r="F353" s="33" t="s">
        <v>41</v>
      </c>
      <c r="G353" s="34">
        <v>40812.0</v>
      </c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30"/>
      <c r="T353" s="30"/>
      <c r="U353" s="30"/>
      <c r="V353" s="30"/>
      <c r="W353" s="30"/>
      <c r="X353" s="30"/>
      <c r="Y353" s="30"/>
      <c r="Z353" s="30"/>
    </row>
    <row r="354" ht="38.25" customHeight="1">
      <c r="A354" s="25" t="s">
        <v>978</v>
      </c>
      <c r="B354" s="26" t="str">
        <f>HYPERLINK("https://drive.google.com/file/d/1QAIgMTzE4iHsYTXhVsxXVnIobCBJ19uZ/view?usp=sharing","AS INFLUÊNCIAS DA POLÍTICA FISCAL BRASILEIRA NO SETOR INDUSTRIAL DA BAHIA, NOS ANOS DE 2003 A 2010.")</f>
        <v>AS INFLUÊNCIAS DA POLÍTICA FISCAL BRASILEIRA NO SETOR INDUSTRIAL DA BAHIA, NOS ANOS DE 2003 A 2010.</v>
      </c>
      <c r="C354" s="27" t="s">
        <v>167</v>
      </c>
      <c r="D354" s="27" t="s">
        <v>979</v>
      </c>
      <c r="E354" s="27" t="s">
        <v>980</v>
      </c>
      <c r="F354" s="27" t="s">
        <v>685</v>
      </c>
      <c r="G354" s="28">
        <v>40805.0</v>
      </c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30"/>
      <c r="T354" s="30"/>
      <c r="U354" s="30"/>
      <c r="V354" s="30"/>
      <c r="W354" s="30"/>
      <c r="X354" s="30"/>
      <c r="Y354" s="30"/>
      <c r="Z354" s="30"/>
    </row>
    <row r="355" ht="28.5" customHeight="1">
      <c r="A355" s="31" t="s">
        <v>981</v>
      </c>
      <c r="B355" s="32" t="str">
        <f>HYPERLINK("https://drive.google.com/file/d/1QawmkDi0M4l9Vs1ywnj40gQ5mgedcKrA/view?usp=sharing","AÇÕES AFIRMATIVAS E O VESTIBULAR DA UESC")</f>
        <v>AÇÕES AFIRMATIVAS E O VESTIBULAR DA UESC</v>
      </c>
      <c r="C355" s="33" t="s">
        <v>137</v>
      </c>
      <c r="D355" s="33" t="s">
        <v>982</v>
      </c>
      <c r="E355" s="33" t="s">
        <v>983</v>
      </c>
      <c r="F355" s="33" t="s">
        <v>861</v>
      </c>
      <c r="G355" s="34">
        <v>40578.0</v>
      </c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30"/>
      <c r="T355" s="30"/>
      <c r="U355" s="30"/>
      <c r="V355" s="30"/>
      <c r="W355" s="30"/>
      <c r="X355" s="30"/>
      <c r="Y355" s="30"/>
      <c r="Z355" s="30"/>
    </row>
    <row r="356" ht="51.0" customHeight="1">
      <c r="A356" s="25" t="s">
        <v>984</v>
      </c>
      <c r="B356" s="26" t="str">
        <f>HYPERLINK("https://drive.google.com/file/d/12m2yxHVBCFTvAB9KLdL1Q3vCRqccPOvX/view?usp=sharing","COMPRAS GOVERNAMENTAIS DA UESC NO MUNICÍPIO DE ITABUNA – BAHIA NO PERÍODO DE 2000-2007: UMA ANÁLISE DOS EFEITOS NO COMÉRCIO LOCAL E NO MUNICÍPIO")</f>
        <v>COMPRAS GOVERNAMENTAIS DA UESC NO MUNICÍPIO DE ITABUNA – BAHIA NO PERÍODO DE 2000-2007: UMA ANÁLISE DOS EFEITOS NO COMÉRCIO LOCAL E NO MUNICÍPIO</v>
      </c>
      <c r="C356" s="27" t="s">
        <v>167</v>
      </c>
      <c r="D356" s="27" t="s">
        <v>985</v>
      </c>
      <c r="E356" s="27" t="s">
        <v>986</v>
      </c>
      <c r="F356" s="27" t="s">
        <v>963</v>
      </c>
      <c r="G356" s="28">
        <v>40816.0</v>
      </c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30"/>
      <c r="T356" s="30"/>
      <c r="U356" s="30"/>
      <c r="V356" s="30"/>
      <c r="W356" s="30"/>
      <c r="X356" s="30"/>
      <c r="Y356" s="30"/>
      <c r="Z356" s="30"/>
    </row>
    <row r="357" ht="38.25" customHeight="1">
      <c r="A357" s="31" t="s">
        <v>987</v>
      </c>
      <c r="B357" s="32" t="str">
        <f>HYPERLINK("https://drive.google.com/file/d/16gOSm4yDp4wqdxCCPsYtBnldQi2iDcQL/view?usp=sharing","A DOUTRINA SOCIAL CATÓLICA E SUA SIMILARIDADE COM OS PRINCÍPIOS DA ECONOMIA SOLIDÁRIA.")</f>
        <v>A DOUTRINA SOCIAL CATÓLICA E SUA SIMILARIDADE COM OS PRINCÍPIOS DA ECONOMIA SOLIDÁRIA.</v>
      </c>
      <c r="C357" s="33" t="s">
        <v>276</v>
      </c>
      <c r="D357" s="33" t="s">
        <v>988</v>
      </c>
      <c r="E357" s="33" t="s">
        <v>989</v>
      </c>
      <c r="F357" s="33" t="s">
        <v>31</v>
      </c>
      <c r="G357" s="34">
        <v>40585.0</v>
      </c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30"/>
      <c r="T357" s="30"/>
      <c r="U357" s="30"/>
      <c r="V357" s="30"/>
      <c r="W357" s="30"/>
      <c r="X357" s="30"/>
      <c r="Y357" s="30"/>
      <c r="Z357" s="30"/>
    </row>
    <row r="358" ht="51.0" customHeight="1">
      <c r="A358" s="25" t="s">
        <v>990</v>
      </c>
      <c r="B358" s="26" t="str">
        <f>HYPERLINK("https://drive.google.com/file/d/1QQ0i3eMIkpXJF5G4DsFnyQVd1_h5k3ST/view?usp=sharing","O SISTEMA DE METAS PARA INFLAÇÃO NO BRASIL: UM ENFOQUE NO COMPROMISSO COM A ESTABILIDADE DE PREÇOS NO PERÍODO DE 1999 A 2009")</f>
        <v>O SISTEMA DE METAS PARA INFLAÇÃO NO BRASIL: UM ENFOQUE NO COMPROMISSO COM A ESTABILIDADE DE PREÇOS NO PERÍODO DE 1999 A 2009</v>
      </c>
      <c r="C358" s="27" t="s">
        <v>13</v>
      </c>
      <c r="D358" s="27" t="s">
        <v>991</v>
      </c>
      <c r="E358" s="27" t="s">
        <v>992</v>
      </c>
      <c r="F358" s="27" t="s">
        <v>685</v>
      </c>
      <c r="G358" s="28">
        <v>40952.0</v>
      </c>
      <c r="H358" s="42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42.75" customHeight="1">
      <c r="A359" s="31" t="s">
        <v>993</v>
      </c>
      <c r="B359" s="32" t="str">
        <f>HYPERLINK("https://drive.google.com/file/d/1s2ExJX1eCfKG-K6XlHvDhRVwgSL2z6sh/view?usp=sharing","CICLO DE NEGÓCIOS: UMA INVESTIGAÇÃO SOBRE A EXISTÊNCIA DE CICLO COMUM")</f>
        <v>CICLO DE NEGÓCIOS: UMA INVESTIGAÇÃO SOBRE A EXISTÊNCIA DE CICLO COMUM</v>
      </c>
      <c r="C359" s="33" t="s">
        <v>167</v>
      </c>
      <c r="D359" s="33" t="s">
        <v>994</v>
      </c>
      <c r="E359" s="33" t="s">
        <v>995</v>
      </c>
      <c r="F359" s="33" t="s">
        <v>685</v>
      </c>
      <c r="G359" s="34">
        <v>40583.0</v>
      </c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30"/>
      <c r="T359" s="30"/>
      <c r="U359" s="30"/>
      <c r="V359" s="30"/>
      <c r="W359" s="30"/>
      <c r="X359" s="30"/>
      <c r="Y359" s="30"/>
      <c r="Z359" s="30"/>
    </row>
    <row r="360" ht="38.25" customHeight="1">
      <c r="A360" s="25" t="s">
        <v>996</v>
      </c>
      <c r="B360" s="26" t="str">
        <f>HYPERLINK("https://drive.google.com/file/d/1JuG2PZ32KU_D8yfupzhql17gtO8HjiS2/view?usp=sharing","COMPETITIVIDADE DO ÓLEO DE MAMONA BRASILEIRO: UMA ANÁLISE A PARTIR DE INDICADORES DE DESEMPENHO E EFICIÊNCIA")</f>
        <v>COMPETITIVIDADE DO ÓLEO DE MAMONA BRASILEIRO: UMA ANÁLISE A PARTIR DE INDICADORES DE DESEMPENHO E EFICIÊNCIA</v>
      </c>
      <c r="C360" s="27" t="s">
        <v>47</v>
      </c>
      <c r="D360" s="27" t="s">
        <v>997</v>
      </c>
      <c r="E360" s="27" t="s">
        <v>998</v>
      </c>
      <c r="F360" s="27" t="s">
        <v>73</v>
      </c>
      <c r="G360" s="28">
        <v>40571.0</v>
      </c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30"/>
      <c r="T360" s="30"/>
      <c r="U360" s="30"/>
      <c r="V360" s="30"/>
      <c r="W360" s="30"/>
      <c r="X360" s="30"/>
      <c r="Y360" s="30"/>
      <c r="Z360" s="30"/>
    </row>
    <row r="361" ht="51.0" customHeight="1">
      <c r="A361" s="31" t="s">
        <v>999</v>
      </c>
      <c r="B361" s="32" t="str">
        <f>HYPERLINK("https://drive.google.com/file/d/15-opRtn1Qsrwu-usT04Ce9lb90RqEHL_/view?usp=sharing","FORMAÇÃO DOS PREÇOS DE VENDA SOB O ASPECTO TRIBUTÁRIO: ANÁLISE DE UMA EMPRESA DO COMÉRCIO VAREJISTA DE MATERIAL ELÉTRICO.")</f>
        <v>FORMAÇÃO DOS PREÇOS DE VENDA SOB O ASPECTO TRIBUTÁRIO: ANÁLISE DE UMA EMPRESA DO COMÉRCIO VAREJISTA DE MATERIAL ELÉTRICO.</v>
      </c>
      <c r="C361" s="33" t="s">
        <v>116</v>
      </c>
      <c r="D361" s="33" t="s">
        <v>1000</v>
      </c>
      <c r="E361" s="33" t="s">
        <v>1001</v>
      </c>
      <c r="F361" s="33" t="s">
        <v>147</v>
      </c>
      <c r="G361" s="34">
        <v>40581.0</v>
      </c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30"/>
      <c r="T361" s="30"/>
      <c r="U361" s="30"/>
      <c r="V361" s="30"/>
      <c r="W361" s="30"/>
      <c r="X361" s="30"/>
      <c r="Y361" s="30"/>
      <c r="Z361" s="30"/>
    </row>
    <row r="362" ht="51.0" customHeight="1">
      <c r="A362" s="25" t="s">
        <v>1002</v>
      </c>
      <c r="B362" s="26" t="str">
        <f>HYPERLINK("https://drive.google.com/file/d/1k-K1XrQIJebV093qvX-cx7o-aCvgtE6G/view?usp=sharing","UM ESTUDO DA INFLUÊNCIA DA TAXA DE CÂMBIO SOBRE O DESEMPENHO DAS EXPORTAÇÕES BRASILEIRAS DURANTE O GOVERNO FHC")</f>
        <v>UM ESTUDO DA INFLUÊNCIA DA TAXA DE CÂMBIO SOBRE O DESEMPENHO DAS EXPORTAÇÕES BRASILEIRAS DURANTE O GOVERNO FHC</v>
      </c>
      <c r="C362" s="27" t="s">
        <v>252</v>
      </c>
      <c r="D362" s="27" t="s">
        <v>1003</v>
      </c>
      <c r="E362" s="27" t="s">
        <v>1004</v>
      </c>
      <c r="F362" s="27" t="s">
        <v>620</v>
      </c>
      <c r="G362" s="28">
        <v>40585.0</v>
      </c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30"/>
      <c r="T362" s="30"/>
      <c r="U362" s="30"/>
      <c r="V362" s="30"/>
      <c r="W362" s="30"/>
      <c r="X362" s="30"/>
      <c r="Y362" s="30"/>
      <c r="Z362" s="30"/>
    </row>
    <row r="363" ht="38.25" customHeight="1">
      <c r="A363" s="31" t="str">
        <f>HYPERLINK("https://drive.google.com/file/d/1Vj_E43VHUjDpjHvRxBb9K65Rf-4oz0Tu/view?usp=sharing","2011-22")</f>
        <v>2011-22</v>
      </c>
      <c r="B363" s="32" t="str">
        <f>HYPERLINK("https://drive.google.com/file/d/1O9CMu5ER_oXTW2eb6DcZLSp0Z9a7RObV/view?usp=sharing","A EDUCAÇÃO PÚBLICA NA REDE MUNICIPAL DA CIDADE DE ITABUNA- BA: desempenhos das escolas e os aspectos sócio-econômicos")</f>
        <v>A EDUCAÇÃO PÚBLICA NA REDE MUNICIPAL DA CIDADE DE ITABUNA- BA: desempenhos das escolas e os aspectos sócio-econômicos</v>
      </c>
      <c r="C363" s="33" t="s">
        <v>1005</v>
      </c>
      <c r="D363" s="33" t="s">
        <v>1006</v>
      </c>
      <c r="E363" s="33" t="s">
        <v>1007</v>
      </c>
      <c r="F363" s="33" t="s">
        <v>184</v>
      </c>
      <c r="G363" s="36">
        <v>2011.0</v>
      </c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30"/>
      <c r="T363" s="30"/>
      <c r="U363" s="30"/>
      <c r="V363" s="30"/>
      <c r="W363" s="30"/>
      <c r="X363" s="30"/>
      <c r="Y363" s="30"/>
      <c r="Z363" s="30"/>
    </row>
    <row r="364" ht="51.0" customHeight="1">
      <c r="A364" s="51" t="s">
        <v>1008</v>
      </c>
      <c r="B364" s="26" t="str">
        <f>HYPERLINK("https://drive.google.com/file/d/1t6Er7Aa7wK5QWB7ym53UOx6DPTkZYVHL/view?usp=sharing","BREVES CONCEPÇÕES SOBRE O IMPERIALISMO E A NOVA ORDEM MUNDIAL: UMA VISÃO CRÍTICA A PARTIR DE ROSA LUXEMBRUGO")</f>
        <v>BREVES CONCEPÇÕES SOBRE O IMPERIALISMO E A NOVA ORDEM MUNDIAL: UMA VISÃO CRÍTICA A PARTIR DE ROSA LUXEMBRUGO</v>
      </c>
      <c r="C364" s="27" t="s">
        <v>159</v>
      </c>
      <c r="D364" s="27" t="s">
        <v>1009</v>
      </c>
      <c r="E364" s="27" t="s">
        <v>1010</v>
      </c>
      <c r="F364" s="27" t="s">
        <v>1011</v>
      </c>
      <c r="G364" s="28">
        <v>40954.0</v>
      </c>
      <c r="H364" s="42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43.5" customHeight="1">
      <c r="A365" s="52" t="str">
        <f>HYPERLINK("https://drive.google.com/file/d/14aLKIC_yYitFJRVzN5fzquYITdUFE_tg/view?usp=sharing","2011-30")</f>
        <v>2011-30</v>
      </c>
      <c r="B365" s="53" t="str">
        <f>HYPERLINK("https://drive.google.com/file/d/1tInhqN1L07Qlnir_dqIDa76kGiXIhU-U/view?usp=sharing","A CENTRALIDADE DO COMÉRCIO INFORMAL (FEIRAS LIVRES) NO MUNICÍPIO DE ILHÉUS - BAHIA")</f>
        <v>A CENTRALIDADE DO COMÉRCIO INFORMAL (FEIRAS LIVRES) NO MUNICÍPIO DE ILHÉUS - BAHIA</v>
      </c>
      <c r="C365" s="54" t="s">
        <v>338</v>
      </c>
      <c r="D365" s="54" t="s">
        <v>1012</v>
      </c>
      <c r="E365" s="54" t="s">
        <v>1013</v>
      </c>
      <c r="F365" s="54" t="s">
        <v>105</v>
      </c>
      <c r="G365" s="55">
        <v>40954.0</v>
      </c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30"/>
      <c r="T365" s="30"/>
      <c r="U365" s="30"/>
      <c r="V365" s="30"/>
      <c r="W365" s="30"/>
      <c r="X365" s="30"/>
      <c r="Y365" s="30"/>
      <c r="Z365" s="30"/>
    </row>
    <row r="366" ht="28.5" customHeight="1">
      <c r="A366" s="56" t="s">
        <v>1014</v>
      </c>
      <c r="B366" s="57" t="str">
        <f>HYPERLINK("https://drive.google.com/file/d/1EILnpPxiGmQG3pbib-ADY0vNg_EWJVV-/view?usp=sharing","OS PRINCIPAIS CUSTOS SÓCIO-ECONOMICOS GERADO PELA CRIMINALIDADE E")</f>
        <v>OS PRINCIPAIS CUSTOS SÓCIO-ECONOMICOS GERADO PELA CRIMINALIDADE E</v>
      </c>
      <c r="C366" s="58" t="s">
        <v>23</v>
      </c>
      <c r="D366" s="58"/>
      <c r="E366" s="58" t="s">
        <v>1015</v>
      </c>
      <c r="F366" s="58" t="s">
        <v>1016</v>
      </c>
      <c r="G366" s="59">
        <v>2012.0</v>
      </c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</row>
    <row r="367" ht="28.5" customHeight="1">
      <c r="A367" s="31" t="s">
        <v>1017</v>
      </c>
      <c r="B367" s="32" t="str">
        <f>HYPERLINK("https://drive.google.com/file/d/1f63UoEfMNxQ7439GIjfq02wYxfghOOBP/view?usp=sharing","A POLÍTICA FISCAL NOS DOIS GOVERNOS LULA")</f>
        <v>A POLÍTICA FISCAL NOS DOIS GOVERNOS LULA</v>
      </c>
      <c r="C367" s="33" t="s">
        <v>167</v>
      </c>
      <c r="D367" s="33" t="s">
        <v>1018</v>
      </c>
      <c r="E367" s="33" t="s">
        <v>1019</v>
      </c>
      <c r="F367" s="33" t="s">
        <v>1020</v>
      </c>
      <c r="G367" s="34">
        <v>41114.0</v>
      </c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30"/>
      <c r="T367" s="30"/>
      <c r="U367" s="30"/>
      <c r="V367" s="30"/>
      <c r="W367" s="30"/>
      <c r="X367" s="30"/>
      <c r="Y367" s="30"/>
      <c r="Z367" s="30"/>
    </row>
    <row r="368" ht="51.0" customHeight="1">
      <c r="A368" s="25" t="s">
        <v>1021</v>
      </c>
      <c r="B368" s="26" t="str">
        <f>HYPERLINK("https://drive.google.com/file/d/1gAIgLB3VrjJZOFrQerRx_E4jOtLaVfQ6/view?usp=sharing","PELA VIOLÊNCIA NO ESTADO DA BAHIA DE 1999 A 2009.")</f>
        <v>PELA VIOLÊNCIA NO ESTADO DA BAHIA DE 1999 A 2009.</v>
      </c>
      <c r="C368" s="27" t="s">
        <v>1022</v>
      </c>
      <c r="D368" s="27" t="s">
        <v>1023</v>
      </c>
      <c r="E368" s="27" t="s">
        <v>1024</v>
      </c>
      <c r="F368" s="27" t="s">
        <v>184</v>
      </c>
      <c r="G368" s="28">
        <v>40954.0</v>
      </c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30"/>
      <c r="T368" s="30"/>
      <c r="U368" s="30"/>
      <c r="V368" s="30"/>
      <c r="W368" s="30"/>
      <c r="X368" s="30"/>
      <c r="Y368" s="30"/>
      <c r="Z368" s="30"/>
    </row>
    <row r="369" ht="51.0" customHeight="1">
      <c r="A369" s="31" t="s">
        <v>1025</v>
      </c>
      <c r="B369" s="32" t="str">
        <f>HYPERLINK("https://drive.google.com/file/d/14BDRHgtWl0CumyM3B2spFPG_kFC8L7uX/view?usp=sharing","PERCEPÇÃO DOS CLIENTES QUANTO À QUALIDADE DOS SERVIÇOS PRESTADOS NA AGÊNCIA DOS CORREIOS DO MUNICÍPIO DE COARACI-BAHIA")</f>
        <v>PERCEPÇÃO DOS CLIENTES QUANTO À QUALIDADE DOS SERVIÇOS PRESTADOS NA AGÊNCIA DOS CORREIOS DO MUNICÍPIO DE COARACI-BAHIA</v>
      </c>
      <c r="C369" s="33" t="s">
        <v>111</v>
      </c>
      <c r="D369" s="33" t="s">
        <v>1026</v>
      </c>
      <c r="E369" s="33" t="s">
        <v>1027</v>
      </c>
      <c r="F369" s="33" t="s">
        <v>356</v>
      </c>
      <c r="G369" s="34">
        <v>41263.0</v>
      </c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30"/>
      <c r="T369" s="30"/>
      <c r="U369" s="30"/>
      <c r="V369" s="30"/>
      <c r="W369" s="30"/>
      <c r="X369" s="30"/>
      <c r="Y369" s="30"/>
      <c r="Z369" s="30"/>
    </row>
    <row r="370" ht="51.0" customHeight="1">
      <c r="A370" s="25" t="s">
        <v>1028</v>
      </c>
      <c r="B370" s="26" t="str">
        <f>HYPERLINK("https://drive.google.com/file/d/1ZrsZHJFTlHTq0yHEHIueZU9PYinQmm_R/view?usp=sharing","ANÁLISE DE CUSTOS MÉDIOS DE PRODUÇÃO DE BOVINOS DE CORTE EM FASE DE ENGORDA NA FAZENDA BELO MONTE NO MUNICÍPIO DE ITAJÚ DO COLÔNIA, BAHIA")</f>
        <v>ANÁLISE DE CUSTOS MÉDIOS DE PRODUÇÃO DE BOVINOS DE CORTE EM FASE DE ENGORDA NA FAZENDA BELO MONTE NO MUNICÍPIO DE ITAJÚ DO COLÔNIA, BAHIA</v>
      </c>
      <c r="C370" s="27" t="s">
        <v>47</v>
      </c>
      <c r="D370" s="27" t="s">
        <v>1029</v>
      </c>
      <c r="E370" s="27" t="s">
        <v>1030</v>
      </c>
      <c r="F370" s="27" t="s">
        <v>1031</v>
      </c>
      <c r="G370" s="28">
        <v>41113.0</v>
      </c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30"/>
      <c r="T370" s="30"/>
      <c r="U370" s="30"/>
      <c r="V370" s="30"/>
      <c r="W370" s="30"/>
      <c r="X370" s="30"/>
      <c r="Y370" s="30"/>
      <c r="Z370" s="30"/>
    </row>
    <row r="371" ht="57.0" customHeight="1">
      <c r="A371" s="31" t="s">
        <v>1032</v>
      </c>
      <c r="B371" s="32" t="str">
        <f>HYPERLINK("https://drive.google.com/file/d/1TjwrdHoIKk_NBvhFWpWbPjPCy46b8arh/view?usp=sharing","A PROBLEMÁTICA AMBIENTAL NO ESTADO DA BAHIA: UMA EXPOSIÇÃO DE INFORMAÇÕES ENTRE 2000 E 2009.")</f>
        <v>A PROBLEMÁTICA AMBIENTAL NO ESTADO DA BAHIA: UMA EXPOSIÇÃO DE INFORMAÇÕES ENTRE 2000 E 2009.</v>
      </c>
      <c r="C371" s="33" t="s">
        <v>43</v>
      </c>
      <c r="D371" s="33" t="s">
        <v>1033</v>
      </c>
      <c r="E371" s="33" t="s">
        <v>1034</v>
      </c>
      <c r="F371" s="33" t="s">
        <v>64</v>
      </c>
      <c r="G371" s="34">
        <v>40955.0</v>
      </c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30"/>
      <c r="T371" s="30"/>
      <c r="U371" s="30"/>
      <c r="V371" s="30"/>
      <c r="W371" s="30"/>
      <c r="X371" s="30"/>
      <c r="Y371" s="30"/>
      <c r="Z371" s="30"/>
    </row>
    <row r="372" ht="38.25" customHeight="1">
      <c r="A372" s="25" t="s">
        <v>1035</v>
      </c>
      <c r="B372" s="26" t="str">
        <f>HYPERLINK("https://drive.google.com/file/d/14JmyNZbMQp2jqgTAO2FwINuxE2BCFLiy/view?usp=sharing","AVALIAÇÃO ECONÔMICA – FINANCEIRA DA TILAPICULTURA EM TANQUES–REDE NO MUNICÍPIO DE PAULO AFONSO (BAHIA)")</f>
        <v>AVALIAÇÃO ECONÔMICA – FINANCEIRA DA TILAPICULTURA EM TANQUES–REDE NO MUNICÍPIO DE PAULO AFONSO (BAHIA)</v>
      </c>
      <c r="C372" s="27" t="s">
        <v>386</v>
      </c>
      <c r="D372" s="27" t="s">
        <v>1036</v>
      </c>
      <c r="E372" s="27" t="s">
        <v>1037</v>
      </c>
      <c r="F372" s="27" t="s">
        <v>114</v>
      </c>
      <c r="G372" s="28">
        <v>41261.0</v>
      </c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30"/>
      <c r="T372" s="30"/>
      <c r="U372" s="30"/>
      <c r="V372" s="30"/>
      <c r="W372" s="30"/>
      <c r="X372" s="30"/>
      <c r="Y372" s="30"/>
      <c r="Z372" s="30"/>
    </row>
    <row r="373" ht="42.75" customHeight="1">
      <c r="A373" s="31" t="s">
        <v>1038</v>
      </c>
      <c r="B373" s="32" t="str">
        <f>HYPERLINK("https://drive.google.com/file/d/12TY58L6Zm8kNH4NLM0TCTwVTrY8ohmYJ/view?usp=sharing","O MERCADO DE AUTOPEÇAS NA CIDADE DE ILHÉUS: ESTUDO DE VIABILIDADE ECONÔMICO-FINANCEIRA PARA INVESTIMENTO NO SETOR")</f>
        <v>O MERCADO DE AUTOPEÇAS NA CIDADE DE ILHÉUS: ESTUDO DE VIABILIDADE ECONÔMICO-FINANCEIRA PARA INVESTIMENTO NO SETOR</v>
      </c>
      <c r="C373" s="33" t="s">
        <v>56</v>
      </c>
      <c r="D373" s="33" t="s">
        <v>1039</v>
      </c>
      <c r="E373" s="33" t="s">
        <v>1040</v>
      </c>
      <c r="F373" s="33" t="s">
        <v>540</v>
      </c>
      <c r="G373" s="34">
        <v>40939.0</v>
      </c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30"/>
      <c r="T373" s="30"/>
      <c r="U373" s="30"/>
      <c r="V373" s="30"/>
      <c r="W373" s="30"/>
      <c r="X373" s="30"/>
      <c r="Y373" s="30"/>
      <c r="Z373" s="30"/>
    </row>
    <row r="374" ht="42.75" customHeight="1">
      <c r="A374" s="25" t="s">
        <v>1041</v>
      </c>
      <c r="B374" s="26" t="str">
        <f>HYPERLINK("https://drive.google.com/file/d/1fOCWlLeWq9P2G5-f2ZOwqukq-ZMkW6v3/view?usp=sharing","E-COMMERCE NO BRASIL: UMA ANÁLISE DO PERÍODO DE 2001 A 2010")</f>
        <v>E-COMMERCE NO BRASIL: UMA ANÁLISE DO PERÍODO DE 2001 A 2010</v>
      </c>
      <c r="C374" s="27" t="s">
        <v>111</v>
      </c>
      <c r="D374" s="27" t="s">
        <v>1042</v>
      </c>
      <c r="E374" s="27" t="s">
        <v>1043</v>
      </c>
      <c r="F374" s="27" t="s">
        <v>1044</v>
      </c>
      <c r="G374" s="28">
        <v>41263.0</v>
      </c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30"/>
      <c r="T374" s="30"/>
      <c r="U374" s="30"/>
      <c r="V374" s="30"/>
      <c r="W374" s="30"/>
      <c r="X374" s="30"/>
      <c r="Y374" s="30"/>
      <c r="Z374" s="30"/>
    </row>
    <row r="375" ht="63.75" customHeight="1">
      <c r="A375" s="31" t="s">
        <v>1045</v>
      </c>
      <c r="B375" s="32" t="str">
        <f>HYPERLINK("https://drive.google.com/file/d/1rFUB8qTX4M7tyfUcXMB_hTqr2GQyQz2R/view?usp=sharing","PRODUÇÃO CIENTÍFICA EM CIÊNCIAS ECONÔMICAS: UMA ANÁLISE DE MONOGRAFIAS DE GRADUAÇÃO EM ECONOMIA DA UNIVERSIDADE ESTADUAL DE SANTA CRUZ, ILHÉUS-BAHIA, NO PERÍODO DE 2005 A 2011")</f>
        <v>PRODUÇÃO CIENTÍFICA EM CIÊNCIAS ECONÔMICAS: UMA ANÁLISE DE MONOGRAFIAS DE GRADUAÇÃO EM ECONOMIA DA UNIVERSIDADE ESTADUAL DE SANTA CRUZ, ILHÉUS-BAHIA, NO PERÍODO DE 2005 A 2011</v>
      </c>
      <c r="C375" s="33" t="s">
        <v>1046</v>
      </c>
      <c r="D375" s="33" t="s">
        <v>1047</v>
      </c>
      <c r="E375" s="33" t="s">
        <v>1048</v>
      </c>
      <c r="F375" s="33" t="s">
        <v>232</v>
      </c>
      <c r="G375" s="34">
        <v>41261.0</v>
      </c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30"/>
      <c r="T375" s="30"/>
      <c r="U375" s="30"/>
      <c r="V375" s="30"/>
      <c r="W375" s="30"/>
      <c r="X375" s="30"/>
      <c r="Y375" s="30"/>
      <c r="Z375" s="30"/>
    </row>
    <row r="376" ht="38.25" customHeight="1">
      <c r="A376" s="25" t="s">
        <v>1049</v>
      </c>
      <c r="B376" s="26" t="str">
        <f>HYPERLINK("https://drive.google.com/file/d/1Pd8ioey-UkhBCYy_DeDV_Jwt60-f0QYw/view?usp=sharing","A COMPETITIVIDADE NO SETOR DE COMERCIALIZAÇÃO DE MATERIAIS DE CONSTRUÇÃO EM ITABUNA - BAHIA")</f>
        <v>A COMPETITIVIDADE NO SETOR DE COMERCIALIZAÇÃO DE MATERIAIS DE CONSTRUÇÃO EM ITABUNA - BAHIA</v>
      </c>
      <c r="C376" s="27" t="s">
        <v>301</v>
      </c>
      <c r="D376" s="27" t="s">
        <v>1050</v>
      </c>
      <c r="E376" s="27" t="s">
        <v>1051</v>
      </c>
      <c r="F376" s="27" t="s">
        <v>473</v>
      </c>
      <c r="G376" s="28">
        <v>40956.0</v>
      </c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30"/>
      <c r="T376" s="30"/>
      <c r="U376" s="30"/>
      <c r="V376" s="30"/>
      <c r="W376" s="30"/>
      <c r="X376" s="30"/>
      <c r="Y376" s="30"/>
      <c r="Z376" s="30"/>
    </row>
    <row r="377" ht="51.0" customHeight="1">
      <c r="A377" s="31" t="s">
        <v>1052</v>
      </c>
      <c r="B377" s="32" t="str">
        <f>HYPERLINK("https://drive.google.com/file/d/1DsQShpNW0YbLDL9rpu-EF1BSRStHfyXJ/view?usp=sharing","PRODUTO INTERNO BRUTO (PIB) E BALANÇA COMERCIAL DO SEGMENTO DE CELULOSE E PAPEL BRASILEIRO, NO PERÍODO DE 1994 A 2010")</f>
        <v>PRODUTO INTERNO BRUTO (PIB) E BALANÇA COMERCIAL DO SEGMENTO DE CELULOSE E PAPEL BRASILEIRO, NO PERÍODO DE 1994 A 2010</v>
      </c>
      <c r="C377" s="33" t="s">
        <v>252</v>
      </c>
      <c r="D377" s="33" t="s">
        <v>1053</v>
      </c>
      <c r="E377" s="33" t="s">
        <v>1054</v>
      </c>
      <c r="F377" s="33" t="s">
        <v>947</v>
      </c>
      <c r="G377" s="34">
        <v>41250.0</v>
      </c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30"/>
      <c r="T377" s="30"/>
      <c r="U377" s="30"/>
      <c r="V377" s="30"/>
      <c r="W377" s="30"/>
      <c r="X377" s="30"/>
      <c r="Y377" s="30"/>
      <c r="Z377" s="30"/>
    </row>
    <row r="378" ht="42.75" customHeight="1">
      <c r="A378" s="25" t="s">
        <v>1055</v>
      </c>
      <c r="B378" s="26" t="str">
        <f>HYPERLINK("https://drive.google.com/file/d/1VTV56Kte7MI-OxxLJ-0NVaLRMl4r3r42/view?usp=sharing","UM ESTUDO SOBRE A CRISE DO CACAU NA REGIÃO CACAUEIRA NOS TEMPOS ATUAIS (2000 – 2010)")</f>
        <v>UM ESTUDO SOBRE A CRISE DO CACAU NA REGIÃO CACAUEIRA NOS TEMPOS ATUAIS (2000 – 2010)</v>
      </c>
      <c r="C378" s="27" t="s">
        <v>386</v>
      </c>
      <c r="D378" s="27" t="s">
        <v>1056</v>
      </c>
      <c r="E378" s="27" t="s">
        <v>1057</v>
      </c>
      <c r="F378" s="27" t="s">
        <v>1031</v>
      </c>
      <c r="G378" s="28">
        <v>41264.0</v>
      </c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30"/>
      <c r="T378" s="30"/>
      <c r="U378" s="30"/>
      <c r="V378" s="30"/>
      <c r="W378" s="30"/>
      <c r="X378" s="30"/>
      <c r="Y378" s="30"/>
      <c r="Z378" s="30"/>
    </row>
    <row r="379" ht="28.5" customHeight="1">
      <c r="A379" s="31" t="s">
        <v>1058</v>
      </c>
      <c r="B379" s="32" t="str">
        <f>HYPERLINK("https://drive.google.com/file/d/1_1uanZKmyWBuhpJ-AOMSGB0PrS-sE6h2/view?usp=sharing","CONDUÇÃO DA POLÍTICA DE METAS DE INFLAÇÃO DURANTE O GOVERNO LULA")</f>
        <v>CONDUÇÃO DA POLÍTICA DE METAS DE INFLAÇÃO DURANTE O GOVERNO LULA</v>
      </c>
      <c r="C379" s="33" t="s">
        <v>167</v>
      </c>
      <c r="D379" s="33" t="s">
        <v>1059</v>
      </c>
      <c r="E379" s="33" t="s">
        <v>1060</v>
      </c>
      <c r="F379" s="33" t="s">
        <v>1020</v>
      </c>
      <c r="G379" s="34">
        <v>41260.0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30"/>
      <c r="T379" s="30"/>
      <c r="U379" s="30"/>
      <c r="V379" s="30"/>
      <c r="W379" s="30"/>
      <c r="X379" s="30"/>
      <c r="Y379" s="30"/>
      <c r="Z379" s="30"/>
    </row>
    <row r="380" ht="42.75" customHeight="1">
      <c r="A380" s="25" t="s">
        <v>1061</v>
      </c>
      <c r="B380" s="26" t="str">
        <f>HYPERLINK("https://drive.google.com/file/d/1LuBznpeDnvJ3pyZ7gFK5UR8SSCB1K6b5/view?usp=sharing","AS RELAÇÕES ECONÔMICAS ENTRE OS PAÍSES BRICS: UM ENFOQUE NO BALANÇO DE PAGAMENTOS DO BRASIL DE 2001 A 2011")</f>
        <v>AS RELAÇÕES ECONÔMICAS ENTRE OS PAÍSES BRICS: UM ENFOQUE NO BALANÇO DE PAGAMENTOS DO BRASIL DE 2001 A 2011</v>
      </c>
      <c r="C380" s="27" t="s">
        <v>252</v>
      </c>
      <c r="D380" s="27" t="s">
        <v>1062</v>
      </c>
      <c r="E380" s="27" t="s">
        <v>1063</v>
      </c>
      <c r="F380" s="27" t="s">
        <v>685</v>
      </c>
      <c r="G380" s="28">
        <v>41260.0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30"/>
      <c r="T380" s="30"/>
      <c r="U380" s="30"/>
      <c r="V380" s="30"/>
      <c r="W380" s="30"/>
      <c r="X380" s="30"/>
      <c r="Y380" s="30"/>
      <c r="Z380" s="30"/>
    </row>
    <row r="381" ht="38.25" customHeight="1">
      <c r="A381" s="31" t="s">
        <v>1064</v>
      </c>
      <c r="B381" s="32" t="str">
        <f>HYPERLINK("https://drive.google.com/file/d/12QTKL3FTCPiL14iqa-DfXCGlq7RCEkXX/view?usp=sharing","PREVISÃO DO PREÇO DA COMMODITY CACAU NO MERCADO DE ILHÉUS: UMA ABORDAGEM DO MODELO ARIMA")</f>
        <v>PREVISÃO DO PREÇO DA COMMODITY CACAU NO MERCADO DE ILHÉUS: UMA ABORDAGEM DO MODELO ARIMA</v>
      </c>
      <c r="C381" s="33" t="s">
        <v>47</v>
      </c>
      <c r="D381" s="33" t="s">
        <v>1065</v>
      </c>
      <c r="E381" s="33" t="s">
        <v>1066</v>
      </c>
      <c r="F381" s="33" t="s">
        <v>244</v>
      </c>
      <c r="G381" s="34">
        <v>41260.0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30"/>
      <c r="T381" s="30"/>
      <c r="U381" s="30"/>
      <c r="V381" s="30"/>
      <c r="W381" s="30"/>
      <c r="X381" s="30"/>
      <c r="Y381" s="30"/>
      <c r="Z381" s="30"/>
    </row>
    <row r="382" ht="42.75" customHeight="1">
      <c r="A382" s="25" t="s">
        <v>1067</v>
      </c>
      <c r="B382" s="26" t="str">
        <f>HYPERLINK("https://drive.google.com/file/d/1Np1ujRdxWADycxcGNlHtBlwt0eV57eAL/view?usp=sharing","ANÁLISE DO PERFIL SOCIOECONÔMICO DOS MEMBROS DA ASSOCIAÇÃO DE COSTUREIRAS DE BUERAREMA-BAHIA")</f>
        <v>ANÁLISE DO PERFIL SOCIOECONÔMICO DOS MEMBROS DA ASSOCIAÇÃO DE COSTUREIRAS DE BUERAREMA-BAHIA</v>
      </c>
      <c r="C382" s="27" t="s">
        <v>276</v>
      </c>
      <c r="D382" s="27" t="s">
        <v>1068</v>
      </c>
      <c r="E382" s="27" t="s">
        <v>1069</v>
      </c>
      <c r="F382" s="27" t="s">
        <v>1070</v>
      </c>
      <c r="G382" s="28">
        <v>40948.0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30"/>
      <c r="T382" s="30"/>
      <c r="U382" s="30"/>
      <c r="V382" s="30"/>
      <c r="W382" s="30"/>
      <c r="X382" s="30"/>
      <c r="Y382" s="30"/>
      <c r="Z382" s="30"/>
    </row>
    <row r="383" ht="38.25" customHeight="1">
      <c r="A383" s="31" t="s">
        <v>1071</v>
      </c>
      <c r="B383" s="32" t="str">
        <f>HYPERLINK("https://drive.google.com/file/d/1WN5vlKu8XRIdclbCHitkvXe35LusoHvf/view?usp=sharing","ANÁLISE SOBRE AS CONDIÇÕES DE VIDA DAS FAMÍLIAS ASSENTADAS NO BUÍQUE EM BUERAREMA-BAHIA")</f>
        <v>ANÁLISE SOBRE AS CONDIÇÕES DE VIDA DAS FAMÍLIAS ASSENTADAS NO BUÍQUE EM BUERAREMA-BAHIA</v>
      </c>
      <c r="C383" s="33" t="s">
        <v>61</v>
      </c>
      <c r="D383" s="33" t="s">
        <v>1072</v>
      </c>
      <c r="E383" s="33" t="s">
        <v>1073</v>
      </c>
      <c r="F383" s="33" t="s">
        <v>1011</v>
      </c>
      <c r="G383" s="34">
        <v>40955.0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30"/>
      <c r="T383" s="30"/>
      <c r="U383" s="30"/>
      <c r="V383" s="30"/>
      <c r="W383" s="30"/>
      <c r="X383" s="30"/>
      <c r="Y383" s="30"/>
      <c r="Z383" s="30"/>
    </row>
    <row r="384" ht="38.25" customHeight="1">
      <c r="A384" s="25" t="s">
        <v>1074</v>
      </c>
      <c r="B384" s="26" t="str">
        <f>HYPERLINK("https://drive.google.com/file/d/1e2WkxmvtRuV4VCn1VM-Xy436Pzoxu-l5/view?usp=sharing","A INDÚSTRIA AUDIOVISUAL: UMA ANÁLISE EMPÍRICA DO SEGMENTO DE EXIBIÇÃO CINEMATOGRÁFICA BAIANO")</f>
        <v>A INDÚSTRIA AUDIOVISUAL: UMA ANÁLISE EMPÍRICA DO SEGMENTO DE EXIBIÇÃO CINEMATOGRÁFICA BAIANO</v>
      </c>
      <c r="C384" s="27" t="s">
        <v>301</v>
      </c>
      <c r="D384" s="27" t="s">
        <v>1075</v>
      </c>
      <c r="E384" s="27" t="s">
        <v>1076</v>
      </c>
      <c r="F384" s="27" t="s">
        <v>73</v>
      </c>
      <c r="G384" s="28">
        <v>41262.0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30"/>
      <c r="T384" s="30"/>
      <c r="U384" s="30"/>
      <c r="V384" s="30"/>
      <c r="W384" s="30"/>
      <c r="X384" s="30"/>
      <c r="Y384" s="30"/>
      <c r="Z384" s="30"/>
    </row>
    <row r="385" ht="51.0" customHeight="1">
      <c r="A385" s="31" t="s">
        <v>1077</v>
      </c>
      <c r="B385" s="32" t="str">
        <f>HYPERLINK("https://drive.google.com/file/d/1ZuvCgpMdd1lIER44LM7Ng7Ejca94P56J/view?usp=sharing","OS EFEITOS DE VARIÁVEIS MACROECONÔMICAS SOBRE A POUPANÇA NACIONAL BRUTA DO BRASIL NO PERÍODO DE 2003 A 2012.")</f>
        <v>OS EFEITOS DE VARIÁVEIS MACROECONÔMICAS SOBRE A POUPANÇA NACIONAL BRUTA DO BRASIL NO PERÍODO DE 2003 A 2012.</v>
      </c>
      <c r="C385" s="33" t="s">
        <v>167</v>
      </c>
      <c r="D385" s="33" t="s">
        <v>1078</v>
      </c>
      <c r="E385" s="33" t="s">
        <v>1079</v>
      </c>
      <c r="F385" s="33" t="s">
        <v>244</v>
      </c>
      <c r="G385" s="34">
        <v>41260.0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30"/>
      <c r="T385" s="30"/>
      <c r="U385" s="30"/>
      <c r="V385" s="30"/>
      <c r="W385" s="30"/>
      <c r="X385" s="30"/>
      <c r="Y385" s="30"/>
      <c r="Z385" s="30"/>
    </row>
    <row r="386" ht="51.0" customHeight="1">
      <c r="A386" s="25" t="s">
        <v>1080</v>
      </c>
      <c r="B386" s="26" t="str">
        <f>HYPERLINK("https://drive.google.com/file/d/1ytxIfPF4iqIUWLcHb4MhVtOygBP7WfPt/view?usp=sharing","ANÁLISE DAS AÇÕES DA INCUBADORA BAIANA DE EMPREENDIMENTOS ECONÔMICOS SOLIDÁRIOS DA UNIVERSIDADE ESTADUAL DE SANTA CRUZ")</f>
        <v>ANÁLISE DAS AÇÕES DA INCUBADORA BAIANA DE EMPREENDIMENTOS ECONÔMICOS SOLIDÁRIOS DA UNIVERSIDADE ESTADUAL DE SANTA CRUZ</v>
      </c>
      <c r="C386" s="27" t="s">
        <v>276</v>
      </c>
      <c r="D386" s="27" t="s">
        <v>1081</v>
      </c>
      <c r="E386" s="27" t="s">
        <v>1082</v>
      </c>
      <c r="F386" s="27" t="s">
        <v>1083</v>
      </c>
      <c r="G386" s="28">
        <v>41256.0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30"/>
      <c r="T386" s="30"/>
      <c r="U386" s="30"/>
      <c r="V386" s="30"/>
      <c r="W386" s="30"/>
      <c r="X386" s="30"/>
      <c r="Y386" s="30"/>
      <c r="Z386" s="30"/>
    </row>
    <row r="387" ht="38.25" customHeight="1">
      <c r="A387" s="31" t="s">
        <v>1084</v>
      </c>
      <c r="B387" s="32" t="str">
        <f>HYPERLINK("https://drive.google.com/file/d/18u0GfOJSZOiEbmE3wSkc4rv01VomTdBn/view?usp=sharing","ANÁLISE DO DESENVOLVIMENTO RURAL NO TERRITÓRIO DE IDENTIDADE EXTREMO SUL DA BAHIA")</f>
        <v>ANÁLISE DO DESENVOLVIMENTO RURAL NO TERRITÓRIO DE IDENTIDADE EXTREMO SUL DA BAHIA</v>
      </c>
      <c r="C387" s="33" t="s">
        <v>386</v>
      </c>
      <c r="D387" s="33" t="s">
        <v>1085</v>
      </c>
      <c r="E387" s="33" t="s">
        <v>1086</v>
      </c>
      <c r="F387" s="33" t="s">
        <v>114</v>
      </c>
      <c r="G387" s="34">
        <v>40955.0</v>
      </c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30"/>
      <c r="T387" s="30"/>
      <c r="U387" s="30"/>
      <c r="V387" s="30"/>
      <c r="W387" s="30"/>
      <c r="X387" s="30"/>
      <c r="Y387" s="30"/>
      <c r="Z387" s="30"/>
    </row>
    <row r="388" ht="38.25" customHeight="1">
      <c r="A388" s="25" t="s">
        <v>1087</v>
      </c>
      <c r="B388" s="26" t="str">
        <f>HYPERLINK("https://drive.google.com/file/d/1aHntpw9LodoFgXCUGxLuVEuuYUyEi_qf/view?usp=sharing","GÊNERO E MICROCRÉDITO NO MERCADO DE TRABALHO AUTÔNOMO NO MUNICÍPIO DE ITABUNA - BAHIA")</f>
        <v>GÊNERO E MICROCRÉDITO NO MERCADO DE TRABALHO AUTÔNOMO NO MUNICÍPIO DE ITABUNA - BAHIA</v>
      </c>
      <c r="C388" s="27" t="s">
        <v>28</v>
      </c>
      <c r="D388" s="27" t="s">
        <v>1088</v>
      </c>
      <c r="E388" s="27" t="s">
        <v>1089</v>
      </c>
      <c r="F388" s="27" t="s">
        <v>184</v>
      </c>
      <c r="G388" s="28">
        <v>41120.0</v>
      </c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30"/>
      <c r="T388" s="30"/>
      <c r="U388" s="30"/>
      <c r="V388" s="30"/>
      <c r="W388" s="30"/>
      <c r="X388" s="30"/>
      <c r="Y388" s="30"/>
      <c r="Z388" s="30"/>
    </row>
    <row r="389" ht="63.75" customHeight="1">
      <c r="A389" s="31" t="s">
        <v>1090</v>
      </c>
      <c r="B389" s="32" t="str">
        <f>HYPERLINK("https://drive.google.com/file/d/1urKI1sbssL_MIJzEUTuvTe3JD5IyAwV6/view?usp=sharing","O SELO DE CERTIFICAÇÃO AGRÍCOLA COMO ALTERNATIVA PARA O AUMENTO DA LUCRATIVIDADE NA COMERCIALIZAÇÃO DE AMÊNDOA DE CACAU NA REGIÃO SUL DA BAHIA.")</f>
        <v>O SELO DE CERTIFICAÇÃO AGRÍCOLA COMO ALTERNATIVA PARA O AUMENTO DA LUCRATIVIDADE NA COMERCIALIZAÇÃO DE AMÊNDOA DE CACAU NA REGIÃO SUL DA BAHIA.</v>
      </c>
      <c r="C389" s="33" t="s">
        <v>47</v>
      </c>
      <c r="D389" s="33" t="s">
        <v>1091</v>
      </c>
      <c r="E389" s="33" t="s">
        <v>1092</v>
      </c>
      <c r="F389" s="33" t="s">
        <v>16</v>
      </c>
      <c r="G389" s="34">
        <v>40948.0</v>
      </c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30"/>
      <c r="T389" s="30"/>
      <c r="U389" s="30"/>
      <c r="V389" s="30"/>
      <c r="W389" s="30"/>
      <c r="X389" s="30"/>
      <c r="Y389" s="30"/>
      <c r="Z389" s="30"/>
    </row>
    <row r="390" ht="51.0" customHeight="1">
      <c r="A390" s="25" t="s">
        <v>1093</v>
      </c>
      <c r="B390" s="26" t="str">
        <f>HYPERLINK("https://drive.google.com/file/d/1nvgzqtBdkJ7TmcYO7mU6KiAilQ1JUaTf/view?usp=sharing","IMPACTOS DA REDUÇÃO DO IMPOSTO SOBRE PRODUTOS INDUSTRIALIZADOS (IPI) NA VENDA E NA PRODUÇÃO DE AUTOMÓVEIS NOVOS NO BRASIL, DE 2006 A 2010")</f>
        <v>IMPACTOS DA REDUÇÃO DO IMPOSTO SOBRE PRODUTOS INDUSTRIALIZADOS (IPI) NA VENDA E NA PRODUÇÃO DE AUTOMÓVEIS NOVOS NO BRASIL, DE 2006 A 2010</v>
      </c>
      <c r="C390" s="27" t="s">
        <v>23</v>
      </c>
      <c r="D390" s="27" t="s">
        <v>1094</v>
      </c>
      <c r="E390" s="27" t="s">
        <v>1095</v>
      </c>
      <c r="F390" s="27" t="s">
        <v>947</v>
      </c>
      <c r="G390" s="28">
        <v>40947.0</v>
      </c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30"/>
      <c r="T390" s="30"/>
      <c r="U390" s="30"/>
      <c r="V390" s="30"/>
      <c r="W390" s="30"/>
      <c r="X390" s="30"/>
      <c r="Y390" s="30"/>
      <c r="Z390" s="30"/>
    </row>
    <row r="391" ht="42.75" customHeight="1">
      <c r="A391" s="31" t="s">
        <v>1096</v>
      </c>
      <c r="B391" s="32" t="str">
        <f>HYPERLINK("https://drive.google.com/file/d/1OFsOrqOhlEztRWchCx6lInnVn9QrHC4m/view?usp=sharing","ANÁLISE DOS PREÇOS PRATICADOS PELOS SUPERMERCADOS DOS MUNICÍPIOS DE ITABUNA E ILHÉUS (BAHIA)")</f>
        <v>ANÁLISE DOS PREÇOS PRATICADOS PELOS SUPERMERCADOS DOS MUNICÍPIOS DE ITABUNA E ILHÉUS (BAHIA)</v>
      </c>
      <c r="C391" s="33" t="s">
        <v>116</v>
      </c>
      <c r="D391" s="33" t="s">
        <v>1097</v>
      </c>
      <c r="E391" s="33" t="s">
        <v>1098</v>
      </c>
      <c r="F391" s="33" t="s">
        <v>861</v>
      </c>
      <c r="G391" s="34">
        <v>40954.0</v>
      </c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30"/>
      <c r="T391" s="30"/>
      <c r="U391" s="30"/>
      <c r="V391" s="30"/>
      <c r="W391" s="30"/>
      <c r="X391" s="30"/>
      <c r="Y391" s="30"/>
      <c r="Z391" s="30"/>
    </row>
    <row r="392" ht="57.0" customHeight="1">
      <c r="A392" s="25" t="s">
        <v>1099</v>
      </c>
      <c r="B392" s="26" t="str">
        <f>HYPERLINK("https://drive.google.com/file/d/1pjJ_1WqSnTUPVVZNMUPL1GInpa0_wuOJ/view?usp=sharing","O DESEMPENHO ACADÊMICO DOS ALUNOS INGRESSANTES NO PRIMEIRO VESTIBULAR DA UESC COM RESERVA DE VAGAS")</f>
        <v>O DESEMPENHO ACADÊMICO DOS ALUNOS INGRESSANTES NO PRIMEIRO VESTIBULAR DA UESC COM RESERVA DE VAGAS</v>
      </c>
      <c r="C392" s="27" t="s">
        <v>137</v>
      </c>
      <c r="D392" s="27" t="s">
        <v>1100</v>
      </c>
      <c r="E392" s="27" t="s">
        <v>1101</v>
      </c>
      <c r="F392" s="27" t="s">
        <v>861</v>
      </c>
      <c r="G392" s="28">
        <v>40954.0</v>
      </c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30"/>
      <c r="T392" s="30"/>
      <c r="U392" s="30"/>
      <c r="V392" s="30"/>
      <c r="W392" s="30"/>
      <c r="X392" s="30"/>
      <c r="Y392" s="30"/>
      <c r="Z392" s="30"/>
    </row>
    <row r="393" ht="38.25" customHeight="1">
      <c r="A393" s="31" t="s">
        <v>1102</v>
      </c>
      <c r="B393" s="32" t="str">
        <f>HYPERLINK("https://drive.google.com/file/d/1P4C3v9QNW6tSLU0Ur4mhgLtXF4k8oQmu/view?usp=sharing","ANÁLISE DO TURISMO RURAL NA FAZENDA SÃO FRANCISCO MUNICÍPIO DE URUÇUCA, DISTRITO DE SERRA GRANDE - BAHIA")</f>
        <v>ANÁLISE DO TURISMO RURAL NA FAZENDA SÃO FRANCISCO MUNICÍPIO DE URUÇUCA, DISTRITO DE SERRA GRANDE - BAHIA</v>
      </c>
      <c r="C393" s="33" t="s">
        <v>33</v>
      </c>
      <c r="D393" s="33" t="s">
        <v>1103</v>
      </c>
      <c r="E393" s="33" t="s">
        <v>1104</v>
      </c>
      <c r="F393" s="33" t="s">
        <v>64</v>
      </c>
      <c r="G393" s="34">
        <v>40955.0</v>
      </c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30"/>
      <c r="T393" s="30"/>
      <c r="U393" s="30"/>
      <c r="V393" s="30"/>
      <c r="W393" s="30"/>
      <c r="X393" s="30"/>
      <c r="Y393" s="30"/>
      <c r="Z393" s="30"/>
    </row>
    <row r="394" ht="51.0" customHeight="1">
      <c r="A394" s="25" t="s">
        <v>1105</v>
      </c>
      <c r="B394" s="26" t="str">
        <f>HYPERLINK("https://drive.google.com/file/d/1Rwz3CE2aY9Gutbm842x8_5nluscxBZrH/view?usp=sharing","A INFLUÊNCIA DA ECONOMIA COMPORTAMENTAL NA ESCOLHA DO CONSUMIDOR: O CASO DA CHEVROLET NO MUNICÍPIO DE ITABUNA")</f>
        <v>A INFLUÊNCIA DA ECONOMIA COMPORTAMENTAL NA ESCOLHA DO CONSUMIDOR: O CASO DA CHEVROLET NO MUNICÍPIO DE ITABUNA</v>
      </c>
      <c r="C394" s="27" t="s">
        <v>747</v>
      </c>
      <c r="D394" s="27" t="s">
        <v>1106</v>
      </c>
      <c r="E394" s="27" t="s">
        <v>1107</v>
      </c>
      <c r="F394" s="27" t="s">
        <v>244</v>
      </c>
      <c r="G394" s="28">
        <v>40955.0</v>
      </c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30"/>
      <c r="T394" s="30"/>
      <c r="U394" s="30"/>
      <c r="V394" s="30"/>
      <c r="W394" s="30"/>
      <c r="X394" s="30"/>
      <c r="Y394" s="30"/>
      <c r="Z394" s="30"/>
    </row>
    <row r="395" ht="63.75" customHeight="1">
      <c r="A395" s="31" t="s">
        <v>1108</v>
      </c>
      <c r="B395" s="32" t="str">
        <f>HYPERLINK("https://drive.google.com/file/d/1JImdi2y54p5-UTKgs2iPhHslLSp4jIXp/view?usp=sharing","INSERÇÃO DAS UNIVERSITÁRIAS NO MERCADO DE TRABALHO: UMA ANÁLISE SOBRE AS DISCENTES DOS CURSOS DE NEGÓCIOS DA UNIVERSIDADE ESTADUAL DE SANTA CRUZ, NO MUNICÍPIO DE ILHÉUS - BAHIA")</f>
        <v>INSERÇÃO DAS UNIVERSITÁRIAS NO MERCADO DE TRABALHO: UMA ANÁLISE SOBRE AS DISCENTES DOS CURSOS DE NEGÓCIOS DA UNIVERSIDADE ESTADUAL DE SANTA CRUZ, NO MUNICÍPIO DE ILHÉUS - BAHIA</v>
      </c>
      <c r="C395" s="33" t="s">
        <v>18</v>
      </c>
      <c r="D395" s="33" t="s">
        <v>1109</v>
      </c>
      <c r="E395" s="33" t="s">
        <v>1110</v>
      </c>
      <c r="F395" s="33" t="s">
        <v>64</v>
      </c>
      <c r="G395" s="34">
        <v>40590.0</v>
      </c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30"/>
      <c r="T395" s="30"/>
      <c r="U395" s="30"/>
      <c r="V395" s="30"/>
      <c r="W395" s="30"/>
      <c r="X395" s="30"/>
      <c r="Y395" s="30"/>
      <c r="Z395" s="30"/>
    </row>
    <row r="396" ht="38.25" customHeight="1">
      <c r="A396" s="25" t="s">
        <v>1111</v>
      </c>
      <c r="B396" s="26" t="str">
        <f>HYPERLINK("https://drive.google.com/file/d/1nnBUCAWVtskB1CRnU06_z67h-YaY9OI4/view?usp=sharing","OS EFEITOS DA INFLAÇÃO, TAXA DE JUROS E RENDA SOBRE O CONSUMO DAS FAMÍLIAS BRASILEIRAS NO PERÍODO DE 1999 A 2009")</f>
        <v>OS EFEITOS DA INFLAÇÃO, TAXA DE JUROS E RENDA SOBRE O CONSUMO DAS FAMÍLIAS BRASILEIRAS NO PERÍODO DE 1999 A 2009</v>
      </c>
      <c r="C396" s="27" t="s">
        <v>167</v>
      </c>
      <c r="D396" s="27" t="s">
        <v>1112</v>
      </c>
      <c r="E396" s="27" t="s">
        <v>1113</v>
      </c>
      <c r="F396" s="27" t="s">
        <v>244</v>
      </c>
      <c r="G396" s="28">
        <v>40948.0</v>
      </c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30"/>
      <c r="T396" s="30"/>
      <c r="U396" s="30"/>
      <c r="V396" s="30"/>
      <c r="W396" s="30"/>
      <c r="X396" s="30"/>
      <c r="Y396" s="30"/>
      <c r="Z396" s="30"/>
    </row>
    <row r="397" ht="51.0" customHeight="1">
      <c r="A397" s="31" t="s">
        <v>1114</v>
      </c>
      <c r="B397" s="32" t="str">
        <f>HYPERLINK("https://drive.google.com/file/d/18Sa8v02GC6fWPG538mDSBclQkgM8XF7L/view?usp=sharing","DESENVOLVIMENTO ECONÔMICO SOB A ÓTICA DE AMARTYA SEN: UM ESTUDO DA REGIÃO NORDESTE COMPREENDIDO ENTRE O PERÍODO DE 2000 A 2010")</f>
        <v>DESENVOLVIMENTO ECONÔMICO SOB A ÓTICA DE AMARTYA SEN: UM ESTUDO DA REGIÃO NORDESTE COMPREENDIDO ENTRE O PERÍODO DE 2000 A 2010</v>
      </c>
      <c r="C397" s="33" t="s">
        <v>61</v>
      </c>
      <c r="D397" s="33" t="s">
        <v>1115</v>
      </c>
      <c r="E397" s="33" t="s">
        <v>1116</v>
      </c>
      <c r="F397" s="33" t="s">
        <v>685</v>
      </c>
      <c r="G397" s="34">
        <v>40952.0</v>
      </c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30"/>
      <c r="T397" s="30"/>
      <c r="U397" s="30"/>
      <c r="V397" s="30"/>
      <c r="W397" s="30"/>
      <c r="X397" s="30"/>
      <c r="Y397" s="30"/>
      <c r="Z397" s="30"/>
    </row>
    <row r="398" ht="51.0" customHeight="1">
      <c r="A398" s="25" t="s">
        <v>1117</v>
      </c>
      <c r="B398" s="26" t="str">
        <f>HYPERLINK("https://drive.google.com/file/d/1fgZbyMzvdvz__2CK3dfzHE9DY_o8vPPJ/view?usp=sharing","O AGROAMIGO E A INOVAÇÃO NA CONCESSÃO DE CRÉDITO NA ÁREA DE ATUAÇÃO DO BANCO DO NORDESTE DO BRASIL: CRIAÇÃO, EXPECTATIVAS E RESULTADOS")</f>
        <v>O AGROAMIGO E A INOVAÇÃO NA CONCESSÃO DE CRÉDITO NA ÁREA DE ATUAÇÃO DO BANCO DO NORDESTE DO BRASIL: CRIAÇÃO, EXPECTATIVAS E RESULTADOS</v>
      </c>
      <c r="C398" s="27" t="s">
        <v>28</v>
      </c>
      <c r="D398" s="27" t="s">
        <v>1118</v>
      </c>
      <c r="E398" s="27" t="s">
        <v>1119</v>
      </c>
      <c r="F398" s="27" t="s">
        <v>31</v>
      </c>
      <c r="G398" s="28">
        <v>40954.0</v>
      </c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30"/>
      <c r="T398" s="30"/>
      <c r="U398" s="30"/>
      <c r="V398" s="30"/>
      <c r="W398" s="30"/>
      <c r="X398" s="30"/>
      <c r="Y398" s="30"/>
      <c r="Z398" s="30"/>
    </row>
    <row r="399" ht="51.0" customHeight="1">
      <c r="A399" s="31" t="s">
        <v>1120</v>
      </c>
      <c r="B399" s="32" t="str">
        <f>HYPERLINK("https://drive.google.com/file/d/1WLssGL9HKifFVy1l3ahwUfvU4H7OBohQ/view?usp=sharing","PERFIL DO EMPREGO FORMAL NAS MICRO E PEQUENAS EMPRESAS DO SETOR DE COMÉRCIO VAREJISTA NO MUNICÍPIO DE ITABUNA, NO PERÍODO DE 2002 A 2011.")</f>
        <v>PERFIL DO EMPREGO FORMAL NAS MICRO E PEQUENAS EMPRESAS DO SETOR DE COMÉRCIO VAREJISTA NO MUNICÍPIO DE ITABUNA, NO PERÍODO DE 2002 A 2011.</v>
      </c>
      <c r="C399" s="33" t="s">
        <v>1121</v>
      </c>
      <c r="D399" s="33" t="s">
        <v>1122</v>
      </c>
      <c r="E399" s="33" t="s">
        <v>1123</v>
      </c>
      <c r="F399" s="33" t="s">
        <v>1124</v>
      </c>
      <c r="G399" s="34">
        <v>41262.0</v>
      </c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30"/>
      <c r="T399" s="30"/>
      <c r="U399" s="30"/>
      <c r="V399" s="30"/>
      <c r="W399" s="30"/>
      <c r="X399" s="30"/>
      <c r="Y399" s="30"/>
      <c r="Z399" s="30"/>
    </row>
    <row r="400" ht="51.0" customHeight="1">
      <c r="A400" s="25" t="s">
        <v>1125</v>
      </c>
      <c r="B400" s="26" t="str">
        <f>HYPERLINK("https://drive.google.com/file/d/1-tj8ggFZK4FdGkFPI-_zwT6vE_bat4q5/view?usp=sharing","RELEVÂNCIA ECONÔMICA DA PARTICIPAÇÃO DOS APOSENTADOS E PENSIONISTAS DO INSTITUTO NACIONAL DA SEGURIDADE SOCIAL (INSS), EM ITABUNA (BAHIA), DE 2005 A 2010.")</f>
        <v>RELEVÂNCIA ECONÔMICA DA PARTICIPAÇÃO DOS APOSENTADOS E PENSIONISTAS DO INSTITUTO NACIONAL DA SEGURIDADE SOCIAL (INSS), EM ITABUNA (BAHIA), DE 2005 A 2010.</v>
      </c>
      <c r="C400" s="27" t="s">
        <v>1022</v>
      </c>
      <c r="D400" s="27" t="s">
        <v>1126</v>
      </c>
      <c r="E400" s="27" t="s">
        <v>1127</v>
      </c>
      <c r="F400" s="27" t="s">
        <v>356</v>
      </c>
      <c r="G400" s="28">
        <v>40953.0</v>
      </c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30"/>
      <c r="T400" s="30"/>
      <c r="U400" s="30"/>
      <c r="V400" s="30"/>
      <c r="W400" s="30"/>
      <c r="X400" s="30"/>
      <c r="Y400" s="30"/>
      <c r="Z400" s="30"/>
    </row>
    <row r="401" ht="63.75" customHeight="1">
      <c r="A401" s="31" t="s">
        <v>1128</v>
      </c>
      <c r="B401" s="32" t="str">
        <f>HYPERLINK("https://drive.google.com/file/d/127DnaDRFfb4lpOIRapOdwIOsKx0IWO3s/view?usp=sharing","POLÍTICAS PÚBLICAS EM HABITAÇÃO E O ENFRENTAMENTO DO DÉFICIT HABITACIONAL: UMA ANÁLISE DO PROGRAMA MINHA CASA MINHA VIDA NOS MUNICÍPIOS DE ILHÉUS E ITABUNA, BAHIA")</f>
        <v>POLÍTICAS PÚBLICAS EM HABITAÇÃO E O ENFRENTAMENTO DO DÉFICIT HABITACIONAL: UMA ANÁLISE DO PROGRAMA MINHA CASA MINHA VIDA NOS MUNICÍPIOS DE ILHÉUS E ITABUNA, BAHIA</v>
      </c>
      <c r="C401" s="33" t="s">
        <v>23</v>
      </c>
      <c r="D401" s="33" t="s">
        <v>1129</v>
      </c>
      <c r="E401" s="33" t="s">
        <v>1130</v>
      </c>
      <c r="F401" s="33" t="s">
        <v>232</v>
      </c>
      <c r="G401" s="34">
        <v>40953.0</v>
      </c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30"/>
      <c r="T401" s="30"/>
      <c r="U401" s="30"/>
      <c r="V401" s="30"/>
      <c r="W401" s="30"/>
      <c r="X401" s="30"/>
      <c r="Y401" s="30"/>
      <c r="Z401" s="30"/>
    </row>
    <row r="402" ht="28.5" customHeight="1">
      <c r="A402" s="25" t="s">
        <v>1131</v>
      </c>
      <c r="B402" s="26" t="str">
        <f>HYPERLINK("https://drive.google.com/file/d/1pqAYea2cL2y9QFZRtgzlyk062-QtDqNo/view?usp=sharing","O PERFIL SOCIOECONÔMICO DO MOTOTAXISTA NA CIDADE DE ITABUNA, BAHIA")</f>
        <v>O PERFIL SOCIOECONÔMICO DO MOTOTAXISTA NA CIDADE DE ITABUNA, BAHIA</v>
      </c>
      <c r="C402" s="27" t="s">
        <v>61</v>
      </c>
      <c r="D402" s="27" t="s">
        <v>1132</v>
      </c>
      <c r="E402" s="27" t="s">
        <v>1133</v>
      </c>
      <c r="F402" s="27" t="s">
        <v>540</v>
      </c>
      <c r="G402" s="28">
        <v>40952.0</v>
      </c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30"/>
      <c r="T402" s="30"/>
      <c r="U402" s="30"/>
      <c r="V402" s="30"/>
      <c r="W402" s="30"/>
      <c r="X402" s="30"/>
      <c r="Y402" s="30"/>
      <c r="Z402" s="30"/>
    </row>
    <row r="403" ht="51.0" customHeight="1">
      <c r="A403" s="31" t="s">
        <v>1134</v>
      </c>
      <c r="B403" s="32" t="str">
        <f>HYPERLINK("https://drive.google.com/file/d/1ObZnGY1FGmyu52X953yhSAs7m2Kw3OpQ/view?usp=sharing","CONSUMO SUSTENTÁVEL: ESTUDO DO COMPORTAMENTO DOS ESTUDANTES DE GRADUAÇÃO DA UNIVERSIDADE ESTADUAL DE SANTA CRUZ, NO MUNICÍPIO DE ILHÉUS - BAHIA")</f>
        <v>CONSUMO SUSTENTÁVEL: ESTUDO DO COMPORTAMENTO DOS ESTUDANTES DE GRADUAÇÃO DA UNIVERSIDADE ESTADUAL DE SANTA CRUZ, NO MUNICÍPIO DE ILHÉUS - BAHIA</v>
      </c>
      <c r="C403" s="33" t="s">
        <v>43</v>
      </c>
      <c r="D403" s="33" t="s">
        <v>1135</v>
      </c>
      <c r="E403" s="33" t="s">
        <v>1136</v>
      </c>
      <c r="F403" s="33" t="s">
        <v>685</v>
      </c>
      <c r="G403" s="34">
        <v>40954.0</v>
      </c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30"/>
      <c r="T403" s="30"/>
      <c r="U403" s="30"/>
      <c r="V403" s="30"/>
      <c r="W403" s="30"/>
      <c r="X403" s="30"/>
      <c r="Y403" s="30"/>
      <c r="Z403" s="30"/>
    </row>
    <row r="404" ht="51.0" customHeight="1">
      <c r="A404" s="25" t="s">
        <v>1137</v>
      </c>
      <c r="B404" s="26" t="str">
        <f>HYPERLINK("https://drive.google.com/file/d/16DJ8sGmDGtCcBPN1Ezm_ws6DjLfhSAze/view?usp=sharing","EFEITOS DA DESONERAÇÃO DO ICMS SOBRE OS ITENS DA CESTA BÁSICA NAS CIDADES DE ILHÉUS E ITABUNA, BAHIA, E SUA INFLUÊNCIA NA RENDA DO TRABALHADOR ASSALARIADO")</f>
        <v>EFEITOS DA DESONERAÇÃO DO ICMS SOBRE OS ITENS DA CESTA BÁSICA NAS CIDADES DE ILHÉUS E ITABUNA, BAHIA, E SUA INFLUÊNCIA NA RENDA DO TRABALHADOR ASSALARIADO</v>
      </c>
      <c r="C404" s="27" t="s">
        <v>116</v>
      </c>
      <c r="D404" s="27" t="s">
        <v>1138</v>
      </c>
      <c r="E404" s="27" t="s">
        <v>1139</v>
      </c>
      <c r="F404" s="27" t="s">
        <v>73</v>
      </c>
      <c r="G404" s="28">
        <v>40945.0</v>
      </c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30"/>
      <c r="T404" s="30"/>
      <c r="U404" s="30"/>
      <c r="V404" s="30"/>
      <c r="W404" s="30"/>
      <c r="X404" s="30"/>
      <c r="Y404" s="30"/>
      <c r="Z404" s="30"/>
    </row>
    <row r="405" ht="63.75" customHeight="1">
      <c r="A405" s="31" t="s">
        <v>1140</v>
      </c>
      <c r="B405" s="32" t="str">
        <f>HYPERLINK("https://drive.google.com/file/d/1RZJ4984YWzsVRh5Eg0WTzeVaKKT_vJyX/view?usp=sharing","O SIMPLES NACIONAL COMO FATOR DE RECUPERAÇÃO FISCAL NO MUNICÍPIO DE COARACI (BAHIA) EM RELAÇÃO À TAXA DE FISCALIZAÇÃO DO FUNCIONAMENTO NOS PERÍODOS DE 2005 A 2011.")</f>
        <v>O SIMPLES NACIONAL COMO FATOR DE RECUPERAÇÃO FISCAL NO MUNICÍPIO DE COARACI (BAHIA) EM RELAÇÃO À TAXA DE FISCALIZAÇÃO DO FUNCIONAMENTO NOS PERÍODOS DE 2005 A 2011.</v>
      </c>
      <c r="C405" s="33" t="s">
        <v>23</v>
      </c>
      <c r="D405" s="33" t="s">
        <v>1141</v>
      </c>
      <c r="E405" s="33" t="s">
        <v>1142</v>
      </c>
      <c r="F405" s="33" t="s">
        <v>476</v>
      </c>
      <c r="G405" s="34">
        <v>41093.0</v>
      </c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30"/>
      <c r="T405" s="30"/>
      <c r="U405" s="30"/>
      <c r="V405" s="30"/>
      <c r="W405" s="30"/>
      <c r="X405" s="30"/>
      <c r="Y405" s="30"/>
      <c r="Z405" s="30"/>
    </row>
    <row r="406" ht="57.0" customHeight="1">
      <c r="A406" s="25" t="s">
        <v>1143</v>
      </c>
      <c r="B406" s="26" t="str">
        <f>HYPERLINK("https://drive.google.com/file/d/1VOt5kEAFxNUB1hGro_pVGpEBb6US-4tb/view?usp=sharing","AS PRINCIPAIS CRISES ECONÔMICAS DOS SÉCULOS XX E XXI À LUZ DA TEORIA AUSTRÍACA DOS CICLOS ECONÔMICOS")</f>
        <v>AS PRINCIPAIS CRISES ECONÔMICAS DOS SÉCULOS XX E XXI À LUZ DA TEORIA AUSTRÍACA DOS CICLOS ECONÔMICOS</v>
      </c>
      <c r="C406" s="27" t="s">
        <v>311</v>
      </c>
      <c r="D406" s="27" t="s">
        <v>1144</v>
      </c>
      <c r="E406" s="27" t="s">
        <v>1145</v>
      </c>
      <c r="F406" s="27" t="s">
        <v>162</v>
      </c>
      <c r="G406" s="28">
        <v>40948.0</v>
      </c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30"/>
      <c r="T406" s="30"/>
      <c r="U406" s="30"/>
      <c r="V406" s="30"/>
      <c r="W406" s="30"/>
      <c r="X406" s="30"/>
      <c r="Y406" s="30"/>
      <c r="Z406" s="30"/>
    </row>
    <row r="407" ht="51.0" customHeight="1">
      <c r="A407" s="31" t="s">
        <v>1146</v>
      </c>
      <c r="B407" s="32" t="str">
        <f>HYPERLINK("https://drive.google.com/file/d/1qh1l5ZXE115xtCzyfH8Tz8MS0ltM8IQY/view?usp=sharing","A ATUAÇÃO DA PEQUENA EMPRESA ASSISTIDA PELO SEBRAE – O CASO DA COMERCIALIZAÇÃO DO VESTUÁRIO NO BAIRRO SÃO CAETANO DA CIDADE DE ITABUNA- BAHIA")</f>
        <v>A ATUAÇÃO DA PEQUENA EMPRESA ASSISTIDA PELO SEBRAE – O CASO DA COMERCIALIZAÇÃO DO VESTUÁRIO NO BAIRRO SÃO CAETANO DA CIDADE DE ITABUNA- BAHIA</v>
      </c>
      <c r="C407" s="33" t="s">
        <v>116</v>
      </c>
      <c r="D407" s="33" t="s">
        <v>1147</v>
      </c>
      <c r="E407" s="33" t="s">
        <v>1148</v>
      </c>
      <c r="F407" s="33" t="s">
        <v>473</v>
      </c>
      <c r="G407" s="34">
        <v>40954.0</v>
      </c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30"/>
      <c r="T407" s="30"/>
      <c r="U407" s="30"/>
      <c r="V407" s="30"/>
      <c r="W407" s="30"/>
      <c r="X407" s="30"/>
      <c r="Y407" s="30"/>
      <c r="Z407" s="30"/>
    </row>
    <row r="408" ht="42.75" customHeight="1">
      <c r="A408" s="51" t="s">
        <v>1149</v>
      </c>
      <c r="B408" s="26" t="str">
        <f>HYPERLINK("https://drive.google.com/file/d/17FVX-i0NWzBPP7lHuVHcTZPaHe9uHHcL/view?usp=sharing","AS INOVAÇÕES TECNOLÓGICAS E O MEIO AMBIENTE: APLICAÇÕES NA INDÚSTRIA AUTOMOBILÍSTICA")</f>
        <v>AS INOVAÇÕES TECNOLÓGICAS E O MEIO AMBIENTE: APLICAÇÕES NA INDÚSTRIA AUTOMOBILÍSTICA</v>
      </c>
      <c r="C408" s="27" t="s">
        <v>1150</v>
      </c>
      <c r="D408" s="27" t="s">
        <v>1151</v>
      </c>
      <c r="E408" s="27" t="s">
        <v>1152</v>
      </c>
      <c r="F408" s="27" t="s">
        <v>1083</v>
      </c>
      <c r="G408" s="28">
        <v>41473.0</v>
      </c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30"/>
      <c r="T408" s="30"/>
      <c r="U408" s="30"/>
      <c r="V408" s="30"/>
      <c r="W408" s="30"/>
      <c r="X408" s="30"/>
      <c r="Y408" s="30"/>
      <c r="Z408" s="30"/>
    </row>
    <row r="409" ht="42.75" customHeight="1">
      <c r="A409" s="31" t="s">
        <v>1153</v>
      </c>
      <c r="B409" s="32" t="str">
        <f>HYPERLINK("https://drive.google.com/file/d/1IxIi8XfEZt2cRMdNilNP9PgiF6usDnPn/view?usp=sharing","CAPITAL SOCIAL E AS RELAÇÕES SOCIAIS MODERNAS")</f>
        <v>CAPITAL SOCIAL E AS RELAÇÕES SOCIAIS MODERNAS</v>
      </c>
      <c r="C409" s="33" t="s">
        <v>61</v>
      </c>
      <c r="D409" s="33" t="s">
        <v>1154</v>
      </c>
      <c r="E409" s="33" t="s">
        <v>1155</v>
      </c>
      <c r="F409" s="33" t="s">
        <v>31</v>
      </c>
      <c r="G409" s="34">
        <v>40587.0</v>
      </c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30"/>
      <c r="T409" s="30"/>
      <c r="U409" s="30"/>
      <c r="V409" s="30"/>
      <c r="W409" s="30"/>
      <c r="X409" s="30"/>
      <c r="Y409" s="30"/>
      <c r="Z409" s="30"/>
    </row>
    <row r="410" ht="57.0" customHeight="1">
      <c r="A410" s="25" t="s">
        <v>1156</v>
      </c>
      <c r="B410" s="26" t="str">
        <f>HYPERLINK("https://drive.google.com/file/d/1d4933TTRIaXl88yF6utHvz-VhpfBlPcD/view?usp=sharing","PANORAMA DO COMPORTAMENTO DA POLÍTICA FISCAL NO BRASIL NO PERÍODO COMPREENDIDO ENTRE 2003 A 2010")</f>
        <v>PANORAMA DO COMPORTAMENTO DA POLÍTICA FISCAL NO BRASIL NO PERÍODO COMPREENDIDO ENTRE 2003 A 2010</v>
      </c>
      <c r="C410" s="27" t="s">
        <v>23</v>
      </c>
      <c r="D410" s="27" t="s">
        <v>1157</v>
      </c>
      <c r="E410" s="27" t="s">
        <v>1158</v>
      </c>
      <c r="F410" s="27" t="s">
        <v>685</v>
      </c>
      <c r="G410" s="28">
        <v>41263.0</v>
      </c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30"/>
      <c r="T410" s="30"/>
      <c r="U410" s="30"/>
      <c r="V410" s="30"/>
      <c r="W410" s="30"/>
      <c r="X410" s="30"/>
      <c r="Y410" s="30"/>
      <c r="Z410" s="30"/>
    </row>
    <row r="411" ht="42.75" customHeight="1">
      <c r="A411" s="31" t="s">
        <v>1159</v>
      </c>
      <c r="B411" s="32" t="str">
        <f>HYPERLINK("https://drive.google.com/file/d/1i2L89Ypg-cZr-4DuQk_7uEovj9Pv6Glp/view?usp=sharing","ESTRATÉGIAS COMPETITIVAS E INOVAÇÕES: DISCUSSÃO TEÓRICA DESTAS FERRAMENTAS SOB A VISÃO DE PORTER E SCHUMPETER")</f>
        <v>ESTRATÉGIAS COMPETITIVAS E INOVAÇÕES: DISCUSSÃO TEÓRICA DESTAS FERRAMENTAS SOB A VISÃO DE PORTER E SCHUMPETER</v>
      </c>
      <c r="C411" s="33" t="s">
        <v>301</v>
      </c>
      <c r="D411" s="33" t="s">
        <v>1160</v>
      </c>
      <c r="E411" s="33" t="s">
        <v>1161</v>
      </c>
      <c r="F411" s="33" t="s">
        <v>1020</v>
      </c>
      <c r="G411" s="34">
        <v>41260.0</v>
      </c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30"/>
      <c r="T411" s="30"/>
      <c r="U411" s="30"/>
      <c r="V411" s="30"/>
      <c r="W411" s="30"/>
      <c r="X411" s="30"/>
      <c r="Y411" s="30"/>
      <c r="Z411" s="30"/>
    </row>
    <row r="412" ht="57.0" customHeight="1">
      <c r="A412" s="25" t="s">
        <v>1162</v>
      </c>
      <c r="B412" s="26" t="str">
        <f>HYPERLINK("https://drive.google.com/file/d/1DQwYvSta_21eiqyt9cmXXwp_vuLCBtVj/view?usp=sharing","O PROGRAMA DE AQUISIÇÃO DE ALIMENTOS DA AGRICULTURA FAMILIAR (PAA): O CASO DOS PRODUTORES DE IBICARAÍ (BAHIA)")</f>
        <v>O PROGRAMA DE AQUISIÇÃO DE ALIMENTOS DA AGRICULTURA FAMILIAR (PAA): O CASO DOS PRODUTORES DE IBICARAÍ (BAHIA)</v>
      </c>
      <c r="C412" s="27" t="s">
        <v>1022</v>
      </c>
      <c r="D412" s="27" t="s">
        <v>1163</v>
      </c>
      <c r="E412" s="27" t="s">
        <v>1164</v>
      </c>
      <c r="F412" s="27" t="s">
        <v>947</v>
      </c>
      <c r="G412" s="28">
        <v>41107.0</v>
      </c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30"/>
      <c r="T412" s="30"/>
      <c r="U412" s="30"/>
      <c r="V412" s="30"/>
      <c r="W412" s="30"/>
      <c r="X412" s="30"/>
      <c r="Y412" s="30"/>
      <c r="Z412" s="30"/>
    </row>
    <row r="413" ht="51.0" customHeight="1">
      <c r="A413" s="31" t="s">
        <v>1165</v>
      </c>
      <c r="B413" s="32" t="str">
        <f>HYPERLINK("https://drive.google.com/file/d/1MDIP3ufrPp5_aKgPfGlQWsoUbhfhSKle/view?usp=sharing","O EFEITO DA VIOLÊNCIA NO CRESCIMENTO ECONÔMICO DOS ESTABELECIMENTOS COMERCIAIS DA RUA MARQUÊS DE PARANAGUÁ NO MUNICÍPIO DE ILHÉUS - BAHIA")</f>
        <v>O EFEITO DA VIOLÊNCIA NO CRESCIMENTO ECONÔMICO DOS ESTABELECIMENTOS COMERCIAIS DA RUA MARQUÊS DE PARANAGUÁ NO MUNICÍPIO DE ILHÉUS - BAHIA</v>
      </c>
      <c r="C413" s="33" t="s">
        <v>1166</v>
      </c>
      <c r="D413" s="33" t="s">
        <v>1167</v>
      </c>
      <c r="E413" s="33" t="s">
        <v>1168</v>
      </c>
      <c r="F413" s="33" t="s">
        <v>147</v>
      </c>
      <c r="G413" s="34">
        <v>41256.0</v>
      </c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30"/>
      <c r="T413" s="30"/>
      <c r="U413" s="30"/>
      <c r="V413" s="30"/>
      <c r="W413" s="30"/>
      <c r="X413" s="30"/>
      <c r="Y413" s="30"/>
      <c r="Z413" s="30"/>
    </row>
    <row r="414" ht="38.25" customHeight="1">
      <c r="A414" s="25" t="s">
        <v>1169</v>
      </c>
      <c r="B414" s="26" t="str">
        <f>HYPERLINK("https://drive.google.com/file/d/1VVnYe6KBimYxUwikxAA2AD1Vd2UGWEOZ/view?usp=sharing","EXPANSÃO DO CRÉDITO NO BRASIL ENTRE 2000 E 2011: DETERMINANTES E EFEITOS SOBRE A DEMANDA INTERNA")</f>
        <v>EXPANSÃO DO CRÉDITO NO BRASIL ENTRE 2000 E 2011: DETERMINANTES E EFEITOS SOBRE A DEMANDA INTERNA</v>
      </c>
      <c r="C414" s="27" t="s">
        <v>13</v>
      </c>
      <c r="D414" s="27" t="s">
        <v>1170</v>
      </c>
      <c r="E414" s="27" t="s">
        <v>1171</v>
      </c>
      <c r="F414" s="27" t="s">
        <v>105</v>
      </c>
      <c r="G414" s="28">
        <v>40954.0</v>
      </c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30"/>
      <c r="T414" s="30"/>
      <c r="U414" s="30"/>
      <c r="V414" s="30"/>
      <c r="W414" s="30"/>
      <c r="X414" s="30"/>
      <c r="Y414" s="30"/>
      <c r="Z414" s="30"/>
    </row>
    <row r="415" ht="42.75" customHeight="1">
      <c r="A415" s="31" t="s">
        <v>1172</v>
      </c>
      <c r="B415" s="32" t="str">
        <f>HYPERLINK("https://drive.google.com/file/d/1vhpce4FH0fAr930L881cCdF4kOriIF0X/view?usp=sharing","AS METAMORFOSES DO TRABALHO NA GÊNESE DO CAPITALISMO - UMA ABORDAGEM HISTÓRICO-DIALÉTICA")</f>
        <v>AS METAMORFOSES DO TRABALHO NA GÊNESE DO CAPITALISMO - UMA ABORDAGEM HISTÓRICO-DIALÉTICA</v>
      </c>
      <c r="C415" s="33" t="s">
        <v>1173</v>
      </c>
      <c r="D415" s="33" t="s">
        <v>1174</v>
      </c>
      <c r="E415" s="33" t="s">
        <v>1175</v>
      </c>
      <c r="F415" s="33" t="s">
        <v>1124</v>
      </c>
      <c r="G415" s="34">
        <v>41121.0</v>
      </c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30"/>
      <c r="T415" s="30"/>
      <c r="U415" s="30"/>
      <c r="V415" s="30"/>
      <c r="W415" s="30"/>
      <c r="X415" s="30"/>
      <c r="Y415" s="30"/>
      <c r="Z415" s="30"/>
    </row>
    <row r="416" ht="51.0" customHeight="1">
      <c r="A416" s="25" t="str">
        <f>HYPERLINK("https://drive.google.com/file/d/1gfOhvCXEViLo7FkGTSRKUR6hP7q_AHm_/view?usp=sharing","2012-51")</f>
        <v>2012-51</v>
      </c>
      <c r="B416" s="26" t="str">
        <f>HYPERLINK("https://drive.google.com/file/d/16zXIcvIUKg0gpfqYGfO929crel77DJvk/view?usp=sharing","A VARIAÇÃO DOS PREÇOS DA RAÇÃO PARA CÃES ENTRE OS ANOS DE 2008-2010 E O GRAU DE SATISFAÇÃO E FIDELIDADE DO COMPRADOR NO MUNICÍPIO DE ITABUNA - BAHIA")</f>
        <v>A VARIAÇÃO DOS PREÇOS DA RAÇÃO PARA CÃES ENTRE OS ANOS DE 2008-2010 E O GRAU DE SATISFAÇÃO E FIDELIDADE DO COMPRADOR NO MUNICÍPIO DE ITABUNA - BAHIA</v>
      </c>
      <c r="C416" s="27" t="s">
        <v>116</v>
      </c>
      <c r="D416" s="27" t="s">
        <v>1176</v>
      </c>
      <c r="E416" s="27" t="s">
        <v>1177</v>
      </c>
      <c r="F416" s="27" t="s">
        <v>147</v>
      </c>
      <c r="G416" s="28">
        <v>41243.0</v>
      </c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30"/>
      <c r="T416" s="30"/>
      <c r="U416" s="30"/>
      <c r="V416" s="30"/>
      <c r="W416" s="30"/>
      <c r="X416" s="30"/>
      <c r="Y416" s="30"/>
      <c r="Z416" s="30"/>
    </row>
    <row r="417" ht="51.0" customHeight="1">
      <c r="A417" s="25" t="str">
        <f>HYPERLINK("https://drive.google.com/file/d/1H50bC95vyZgOHmnUpvDo3wKkFvKukePC/view?usp=sharing","2012-53")</f>
        <v>2012-53</v>
      </c>
      <c r="B417" s="26" t="str">
        <f>HYPERLINK("https://drive.google.com/file/d/1Ooh_Si6ksWmuX3XSTVwW-8kUJcg8Mw9K/view?usp=sharing","FATORES SOCIOECONÔMICOS E O PROCESSO DE ESCOLHA DOS CURSOS DE GRADUAÇÃO DA UESC: UMA ANÁLISE APÓS O SISTEMA DE RESERVA DE VAGAS")</f>
        <v>FATORES SOCIOECONÔMICOS E O PROCESSO DE ESCOLHA DOS CURSOS DE GRADUAÇÃO DA UESC: UMA ANÁLISE APÓS O SISTEMA DE RESERVA DE VAGAS</v>
      </c>
      <c r="C417" s="27" t="s">
        <v>137</v>
      </c>
      <c r="D417" s="27" t="s">
        <v>1178</v>
      </c>
      <c r="E417" s="27" t="s">
        <v>1179</v>
      </c>
      <c r="F417" s="27"/>
      <c r="G417" s="28">
        <v>41263.0</v>
      </c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30"/>
      <c r="T417" s="30"/>
      <c r="U417" s="30"/>
      <c r="V417" s="30"/>
      <c r="W417" s="30"/>
      <c r="X417" s="30"/>
      <c r="Y417" s="30"/>
      <c r="Z417" s="30"/>
    </row>
    <row r="418" ht="51.75" customHeight="1">
      <c r="A418" s="31" t="str">
        <f>HYPERLINK("https://drive.google.com/file/d/1uleLH40br42RYvalSRUIjEL5v1x9pXvP/view?usp=sharing","2012-54")</f>
        <v>2012-54</v>
      </c>
      <c r="B418" s="32" t="str">
        <f>HYPERLINK("https://drive.google.com/file/d/1rs8yNqIvOFcyMAlh6beb0HVF2nS1gLQq/view?usp=sharing","DETERMINANTES PARA O SUCESSO NO DESEMPENHO ACADÊMICO DOS ALUNOS DO CURSO DE CIÊNCIAS ECONÔMICAS COM O SISTEMA DE RESERVA DE VAGAS")</f>
        <v>DETERMINANTES PARA O SUCESSO NO DESEMPENHO ACADÊMICO DOS ALUNOS DO CURSO DE CIÊNCIAS ECONÔMICAS COM O SISTEMA DE RESERVA DE VAGAS</v>
      </c>
      <c r="C418" s="33" t="s">
        <v>137</v>
      </c>
      <c r="D418" s="33" t="s">
        <v>1180</v>
      </c>
      <c r="E418" s="33" t="s">
        <v>1181</v>
      </c>
      <c r="F418" s="33"/>
      <c r="G418" s="34">
        <v>41263.0</v>
      </c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30"/>
      <c r="T418" s="30"/>
      <c r="U418" s="30"/>
      <c r="V418" s="30"/>
      <c r="W418" s="30"/>
      <c r="X418" s="30"/>
      <c r="Y418" s="30"/>
      <c r="Z418" s="30"/>
    </row>
    <row r="419" ht="38.25" customHeight="1">
      <c r="A419" s="25" t="s">
        <v>1182</v>
      </c>
      <c r="B419" s="26" t="str">
        <f>HYPERLINK("https://drive.google.com/file/d/1gK9YgbM54nQJgCBnGzJwTJ7M2sR03pxU/view?usp=sharing","DETERMINANTES DA DEMANDA INTERNACIONAL POR CAFÉ BRASILEIRO NO PERÍODO DE 1990 À 2012.")</f>
        <v>DETERMINANTES DA DEMANDA INTERNACIONAL POR CAFÉ BRASILEIRO NO PERÍODO DE 1990 À 2012.</v>
      </c>
      <c r="C419" s="27" t="s">
        <v>252</v>
      </c>
      <c r="D419" s="27" t="s">
        <v>1183</v>
      </c>
      <c r="E419" s="27" t="s">
        <v>1184</v>
      </c>
      <c r="F419" s="27" t="s">
        <v>1185</v>
      </c>
      <c r="G419" s="28">
        <v>41621.0</v>
      </c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30"/>
      <c r="T419" s="30"/>
      <c r="U419" s="30"/>
      <c r="V419" s="30"/>
      <c r="W419" s="30"/>
      <c r="X419" s="30"/>
      <c r="Y419" s="30"/>
      <c r="Z419" s="30"/>
    </row>
    <row r="420" ht="63.75" customHeight="1">
      <c r="A420" s="31" t="s">
        <v>1186</v>
      </c>
      <c r="B420" s="32" t="str">
        <f>HYPERLINK("https://drive.google.com/file/d/1fMHJ3cTg_7jyRgtg2q7ytBOICINJS0Hz/view?usp=sharing","ANÁLISE DA DISTRIBUIÇÃO DOS RECURSOS DO PROGRAMA NACIONAL DE FORTALECIMENTO DA AGRICULTURA FAMILIAR (PRONAF) NO ESTADO DA BAHIA ENTRE OS ANOS DE 2002 A 2012.")</f>
        <v>ANÁLISE DA DISTRIBUIÇÃO DOS RECURSOS DO PROGRAMA NACIONAL DE FORTALECIMENTO DA AGRICULTURA FAMILIAR (PRONAF) NO ESTADO DA BAHIA ENTRE OS ANOS DE 2002 A 2012.</v>
      </c>
      <c r="C420" s="33" t="s">
        <v>1187</v>
      </c>
      <c r="D420" s="33" t="s">
        <v>1188</v>
      </c>
      <c r="E420" s="33" t="s">
        <v>1189</v>
      </c>
      <c r="F420" s="33" t="s">
        <v>205</v>
      </c>
      <c r="G420" s="34">
        <v>41624.0</v>
      </c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30"/>
      <c r="T420" s="30"/>
      <c r="U420" s="30"/>
      <c r="V420" s="30"/>
      <c r="W420" s="30"/>
      <c r="X420" s="30"/>
      <c r="Y420" s="30"/>
      <c r="Z420" s="30"/>
    </row>
    <row r="421" ht="57.0" customHeight="1">
      <c r="A421" s="25" t="s">
        <v>1190</v>
      </c>
      <c r="B421" s="26" t="str">
        <f>HYPERLINK("https://drive.google.com/file/d/18jWy_waiMF9-RxVN0uEHynGDeeFzm7Pv/view?usp=sharing","A ESCOLHA DO CURSO DE NÍVEL SUPERIOR: O CASO DE CONCLUINTES DO ENSINO MÉDIO DE ILHÉUS - BAHIA")</f>
        <v>A ESCOLHA DO CURSO DE NÍVEL SUPERIOR: O CASO DE CONCLUINTES DO ENSINO MÉDIO DE ILHÉUS - BAHIA</v>
      </c>
      <c r="C421" s="27" t="s">
        <v>116</v>
      </c>
      <c r="D421" s="27" t="s">
        <v>1191</v>
      </c>
      <c r="E421" s="27" t="s">
        <v>1192</v>
      </c>
      <c r="F421" s="27" t="s">
        <v>963</v>
      </c>
      <c r="G421" s="28">
        <v>41445.0</v>
      </c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30"/>
      <c r="T421" s="30"/>
      <c r="U421" s="30"/>
      <c r="V421" s="30"/>
      <c r="W421" s="30"/>
      <c r="X421" s="30"/>
      <c r="Y421" s="30"/>
      <c r="Z421" s="30"/>
    </row>
    <row r="422" ht="51.0" customHeight="1">
      <c r="A422" s="31" t="s">
        <v>1193</v>
      </c>
      <c r="B422" s="32" t="str">
        <f>HYPERLINK("https://drive.google.com/file/d/1-vwp6RHCu6XeswMlySC03Gq1iNGfLydc/view?usp=sharing","O COMPORTAMENTO DO SALÁRIO MÍNIMO  DESDE A SUA INSTITUIÇÃO E UMA ANÁLISE DO CRESCIMENTO ECONÔMICO BRASILEIRO NA DÉCADA DE 1990.")</f>
        <v>O COMPORTAMENTO DO SALÁRIO MÍNIMO  DESDE A SUA INSTITUIÇÃO E UMA ANÁLISE DO CRESCIMENTO ECONÔMICO BRASILEIRO NA DÉCADA DE 1990.</v>
      </c>
      <c r="C422" s="33" t="s">
        <v>234</v>
      </c>
      <c r="D422" s="33" t="s">
        <v>1194</v>
      </c>
      <c r="E422" s="33" t="s">
        <v>1195</v>
      </c>
      <c r="F422" s="33" t="s">
        <v>26</v>
      </c>
      <c r="G422" s="34">
        <v>41612.0</v>
      </c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30"/>
      <c r="T422" s="30"/>
      <c r="U422" s="30"/>
      <c r="V422" s="30"/>
      <c r="W422" s="30"/>
      <c r="X422" s="30"/>
      <c r="Y422" s="30"/>
      <c r="Z422" s="30"/>
    </row>
    <row r="423" ht="42.75" customHeight="1">
      <c r="A423" s="25" t="s">
        <v>1196</v>
      </c>
      <c r="B423" s="26" t="str">
        <f>HYPERLINK("https://drive.google.com/file/d/1y4OVLBn8C-wE6wb8pwO92Npb522Ul66S/view?usp=sharing","A COMISSÃO ECONÔMICA PARA AMÉRICA LATINA E CARIBE E SUAS CONTRIBUIÇÕES PARA ECONOMIA BRASILEIRA")</f>
        <v>A COMISSÃO ECONÔMICA PARA AMÉRICA LATINA E CARIBE E SUAS CONTRIBUIÇÕES PARA ECONOMIA BRASILEIRA</v>
      </c>
      <c r="C423" s="27" t="s">
        <v>234</v>
      </c>
      <c r="D423" s="27" t="s">
        <v>1197</v>
      </c>
      <c r="E423" s="27" t="s">
        <v>1198</v>
      </c>
      <c r="F423" s="27" t="s">
        <v>26</v>
      </c>
      <c r="G423" s="28">
        <v>41620.0</v>
      </c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30"/>
      <c r="T423" s="30"/>
      <c r="U423" s="30"/>
      <c r="V423" s="30"/>
      <c r="W423" s="30"/>
      <c r="X423" s="30"/>
      <c r="Y423" s="30"/>
      <c r="Z423" s="30"/>
    </row>
    <row r="424" ht="42.75" customHeight="1">
      <c r="A424" s="31" t="s">
        <v>1199</v>
      </c>
      <c r="B424" s="32" t="str">
        <f>HYPERLINK("https://drive.google.com/file/d/1uLA_2YgorKWs6xoSGJ3vzUiLTCGsy_xp/view?usp=sharing","A INDUSTRIALIZAÇÃO NO SÉCULO XX E O PROCESSO DE PERDA DO DINAMISMO INDUSTRIAL BRASILEIRO DO SECULO XXI")</f>
        <v>A INDUSTRIALIZAÇÃO NO SÉCULO XX E O PROCESSO DE PERDA DO DINAMISMO INDUSTRIAL BRASILEIRO DO SECULO XXI</v>
      </c>
      <c r="C424" s="33" t="s">
        <v>52</v>
      </c>
      <c r="D424" s="33" t="s">
        <v>1200</v>
      </c>
      <c r="E424" s="33" t="s">
        <v>1201</v>
      </c>
      <c r="F424" s="33" t="s">
        <v>26</v>
      </c>
      <c r="G424" s="34">
        <v>41687.0</v>
      </c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30"/>
      <c r="T424" s="30"/>
      <c r="U424" s="30"/>
      <c r="V424" s="30"/>
      <c r="W424" s="30"/>
      <c r="X424" s="30"/>
      <c r="Y424" s="30"/>
      <c r="Z424" s="30"/>
    </row>
    <row r="425" ht="28.5" customHeight="1">
      <c r="A425" s="25" t="s">
        <v>1202</v>
      </c>
      <c r="B425" s="26" t="str">
        <f>HYPERLINK("https://drive.google.com/file/d/1HmBNpBaWMOhda0pCF_yRtnPo8EV9xy2F/view?usp=sharing","DINÂMICA DO MERCADO DE ÓLEO DE SOJA E SEUS EFEITOS SOBRE O BIODIESEL ")</f>
        <v>DINÂMICA DO MERCADO DE ÓLEO DE SOJA E SEUS EFEITOS SOBRE O BIODIESEL </v>
      </c>
      <c r="C425" s="27" t="s">
        <v>47</v>
      </c>
      <c r="D425" s="27" t="s">
        <v>1203</v>
      </c>
      <c r="E425" s="27" t="s">
        <v>1204</v>
      </c>
      <c r="F425" s="27" t="s">
        <v>73</v>
      </c>
      <c r="G425" s="28">
        <v>41617.0</v>
      </c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30"/>
      <c r="T425" s="30"/>
      <c r="U425" s="30"/>
      <c r="V425" s="30"/>
      <c r="W425" s="30"/>
      <c r="X425" s="30"/>
      <c r="Y425" s="30"/>
      <c r="Z425" s="30"/>
    </row>
    <row r="426" ht="38.25" customHeight="1">
      <c r="A426" s="31" t="s">
        <v>1205</v>
      </c>
      <c r="B426" s="32" t="str">
        <f>HYPERLINK("https://drive.google.com/file/d/1coT4u9tpKJjGwH3XHmmPnZevivtzFih1/view?usp=sharing","ANÁLISE SOCIOECONÔMICA DAS FAMÍLIAS NO PROJETO DE ASSENTAMENTO BRASIL EM BARRO PRETO - BAHIA")</f>
        <v>ANÁLISE SOCIOECONÔMICA DAS FAMÍLIAS NO PROJETO DE ASSENTAMENTO BRASIL EM BARRO PRETO - BAHIA</v>
      </c>
      <c r="C426" s="33" t="s">
        <v>61</v>
      </c>
      <c r="D426" s="33" t="s">
        <v>1206</v>
      </c>
      <c r="E426" s="33" t="s">
        <v>1207</v>
      </c>
      <c r="F426" s="33" t="s">
        <v>114</v>
      </c>
      <c r="G426" s="34">
        <v>41452.0</v>
      </c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30"/>
      <c r="T426" s="30"/>
      <c r="U426" s="30"/>
      <c r="V426" s="30"/>
      <c r="W426" s="30"/>
      <c r="X426" s="30"/>
      <c r="Y426" s="30"/>
      <c r="Z426" s="30"/>
    </row>
    <row r="427" ht="38.25" customHeight="1">
      <c r="A427" s="25" t="s">
        <v>1208</v>
      </c>
      <c r="B427" s="26" t="str">
        <f>HYPERLINK("https://drive.google.com/file/d/1QSEYv7G3Aj6fJiPPpTPdE0A1eqQ2fOAI/view?usp=sharing","CONDICIONANTES DO CONSUMO DOS PRODUTOS HERBALIFE NO MUNICÍPIO DE ILHÉUS - BAHIA, NO PERÍODO DE 2008 E 2013")</f>
        <v>CONDICIONANTES DO CONSUMO DOS PRODUTOS HERBALIFE NO MUNICÍPIO DE ILHÉUS - BAHIA, NO PERÍODO DE 2008 E 2013</v>
      </c>
      <c r="C427" s="27" t="s">
        <v>116</v>
      </c>
      <c r="D427" s="27" t="s">
        <v>1209</v>
      </c>
      <c r="E427" s="27" t="s">
        <v>1210</v>
      </c>
      <c r="F427" s="27" t="s">
        <v>947</v>
      </c>
      <c r="G427" s="28">
        <v>41617.0</v>
      </c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30"/>
      <c r="T427" s="30"/>
      <c r="U427" s="30"/>
      <c r="V427" s="30"/>
      <c r="W427" s="30"/>
      <c r="X427" s="30"/>
      <c r="Y427" s="30"/>
      <c r="Z427" s="30"/>
    </row>
    <row r="428" ht="51.0" customHeight="1">
      <c r="A428" s="31" t="s">
        <v>1211</v>
      </c>
      <c r="B428" s="32" t="str">
        <f>HYPERLINK("https://drive.google.com/file/d/1NSB1g7SaFlpx_aVTL7YoL13jVOCt5737/view?usp=sharing","ANÁLISE DO COMPORTAMENTO DOS USUÁRIOS DOS SERVIÇOS OFERTADOS PELAS LAN HOUSES DO CENTRO DO MUNICÍPIO DE ILHÉUS, BAHIA")</f>
        <v>ANÁLISE DO COMPORTAMENTO DOS USUÁRIOS DOS SERVIÇOS OFERTADOS PELAS LAN HOUSES DO CENTRO DO MUNICÍPIO DE ILHÉUS, BAHIA</v>
      </c>
      <c r="C428" s="33" t="s">
        <v>116</v>
      </c>
      <c r="D428" s="33" t="s">
        <v>1212</v>
      </c>
      <c r="E428" s="33" t="s">
        <v>1213</v>
      </c>
      <c r="F428" s="33" t="s">
        <v>1185</v>
      </c>
      <c r="G428" s="34">
        <v>41621.0</v>
      </c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30"/>
      <c r="T428" s="30"/>
      <c r="U428" s="30"/>
      <c r="V428" s="30"/>
      <c r="W428" s="30"/>
      <c r="X428" s="30"/>
      <c r="Y428" s="30"/>
      <c r="Z428" s="30"/>
    </row>
    <row r="429" ht="38.25" customHeight="1">
      <c r="A429" s="25" t="s">
        <v>1214</v>
      </c>
      <c r="B429" s="26" t="str">
        <f>HYPERLINK("https://drive.google.com/file/d/1ONg7NOKNhY71OvqKEg1TiY38FIJn7t0a/view?usp=sharing","ANÁLISE DA IMPLANTAÇÃO DAS PARCERIAS PÚBLICO-PRIVADAS NA GESTÃO PRISIONAL DO BRASIL")</f>
        <v>ANÁLISE DA IMPLANTAÇÃO DAS PARCERIAS PÚBLICO-PRIVADAS NA GESTÃO PRISIONAL DO BRASIL</v>
      </c>
      <c r="C429" s="27" t="s">
        <v>1022</v>
      </c>
      <c r="D429" s="27" t="s">
        <v>1215</v>
      </c>
      <c r="E429" s="27" t="s">
        <v>1216</v>
      </c>
      <c r="F429" s="27" t="s">
        <v>184</v>
      </c>
      <c r="G429" s="28">
        <v>41620.0</v>
      </c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30"/>
      <c r="T429" s="30"/>
      <c r="U429" s="30"/>
      <c r="V429" s="30"/>
      <c r="W429" s="30"/>
      <c r="X429" s="30"/>
      <c r="Y429" s="30"/>
      <c r="Z429" s="30"/>
    </row>
    <row r="430" ht="42.75" customHeight="1">
      <c r="A430" s="31" t="s">
        <v>1217</v>
      </c>
      <c r="B430" s="32" t="str">
        <f>HYPERLINK("https://drive.google.com/file/d/1JECjST1Fme8ejo8gVlrMlNAw8SwTUrSV/view?usp=sharing","MERCADO DE CRÉDITO E VARIAÇÃO DO CONSUMO NO BRASIL ENTRE 2008 E 2012")</f>
        <v>MERCADO DE CRÉDITO E VARIAÇÃO DO CONSUMO NO BRASIL ENTRE 2008 E 2012</v>
      </c>
      <c r="C430" s="33" t="s">
        <v>13</v>
      </c>
      <c r="D430" s="33" t="s">
        <v>1218</v>
      </c>
      <c r="E430" s="33" t="s">
        <v>1219</v>
      </c>
      <c r="F430" s="33" t="s">
        <v>356</v>
      </c>
      <c r="G430" s="34">
        <v>41621.0</v>
      </c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30"/>
      <c r="T430" s="30"/>
      <c r="U430" s="30"/>
      <c r="V430" s="30"/>
      <c r="W430" s="30"/>
      <c r="X430" s="30"/>
      <c r="Y430" s="30"/>
      <c r="Z430" s="30"/>
    </row>
    <row r="431" ht="57.0" customHeight="1">
      <c r="A431" s="25" t="s">
        <v>1220</v>
      </c>
      <c r="B431" s="26" t="str">
        <f>HYPERLINK("https://drive.google.com/file/d/1xO68mPCX-uZUX830zWuWcoSM-P6l8klE/view?usp=sharing","ANÁLISE DOS ASPECTOS DO DESENVOLVIMENTO HUMANO NA MICROREGIÃO ILHÉUS-ITABUNA (ESTADO DA BAHIA) NO PERÍODO DE 1990 A 2010")</f>
        <v>ANÁLISE DOS ASPECTOS DO DESENVOLVIMENTO HUMANO NA MICROREGIÃO ILHÉUS-ITABUNA (ESTADO DA BAHIA) NO PERÍODO DE 1990 A 2010</v>
      </c>
      <c r="C431" s="27" t="s">
        <v>61</v>
      </c>
      <c r="D431" s="27" t="s">
        <v>1221</v>
      </c>
      <c r="E431" s="27" t="s">
        <v>1222</v>
      </c>
      <c r="F431" s="27" t="s">
        <v>184</v>
      </c>
      <c r="G431" s="28">
        <v>41624.0</v>
      </c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30"/>
      <c r="T431" s="30"/>
      <c r="U431" s="30"/>
      <c r="V431" s="30"/>
      <c r="W431" s="30"/>
      <c r="X431" s="30"/>
      <c r="Y431" s="30"/>
      <c r="Z431" s="30"/>
    </row>
    <row r="432" ht="28.5" customHeight="1">
      <c r="A432" s="31" t="s">
        <v>1223</v>
      </c>
      <c r="B432" s="32" t="str">
        <f>HYPERLINK("https://drive.google.com/file/d/1Q8VaNMiXNZwcVT55IDA7i_0f2tr5bh69/view?usp=sharing","CRISE FINANCEIRA DE 2008: REFLEXOS NO MERCADO DE CAPITAIS BRASILEIRO")</f>
        <v>CRISE FINANCEIRA DE 2008: REFLEXOS NO MERCADO DE CAPITAIS BRASILEIRO</v>
      </c>
      <c r="C432" s="33" t="s">
        <v>767</v>
      </c>
      <c r="D432" s="33" t="s">
        <v>1224</v>
      </c>
      <c r="E432" s="33" t="s">
        <v>1225</v>
      </c>
      <c r="F432" s="33" t="s">
        <v>1044</v>
      </c>
      <c r="G432" s="34">
        <v>41621.0</v>
      </c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30"/>
      <c r="T432" s="30"/>
      <c r="U432" s="30"/>
      <c r="V432" s="30"/>
      <c r="W432" s="30"/>
      <c r="X432" s="30"/>
      <c r="Y432" s="30"/>
      <c r="Z432" s="30"/>
    </row>
    <row r="433" ht="42.75" customHeight="1">
      <c r="A433" s="25" t="s">
        <v>1226</v>
      </c>
      <c r="B433" s="26" t="str">
        <f>HYPERLINK("https://drive.google.com/file/d/1Q0V0cZ67FzN8gviJ55Fq-UzM400pGbc0/view?usp=sharing","O EMPREGO JUVENIL NO MUNICÍPIO DE ILHÉUS (BAHIA): UMA ANÁLISE A PARTIR DO PROGRAMA APRENDIZ LEGAL")</f>
        <v>O EMPREGO JUVENIL NO MUNICÍPIO DE ILHÉUS (BAHIA): UMA ANÁLISE A PARTIR DO PROGRAMA APRENDIZ LEGAL</v>
      </c>
      <c r="C433" s="27" t="s">
        <v>18</v>
      </c>
      <c r="D433" s="27" t="s">
        <v>1227</v>
      </c>
      <c r="E433" s="27" t="s">
        <v>1228</v>
      </c>
      <c r="F433" s="27" t="s">
        <v>184</v>
      </c>
      <c r="G433" s="28">
        <v>41624.0</v>
      </c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30"/>
      <c r="T433" s="30"/>
      <c r="U433" s="30"/>
      <c r="V433" s="30"/>
      <c r="W433" s="30"/>
      <c r="X433" s="30"/>
      <c r="Y433" s="30"/>
      <c r="Z433" s="30"/>
    </row>
    <row r="434" ht="63.75" customHeight="1">
      <c r="A434" s="31" t="s">
        <v>1229</v>
      </c>
      <c r="B434" s="32" t="str">
        <f>HYPERLINK("https://drive.google.com/file/d/1aaUfi-24u3Is8IwNmKZmTlg8vGrXzYpO/view?usp=sharing","FINANCIAMENTO HABITACIONAL E PARTICIPAÇÃO DO CORRESPONDENTE BANCÁRIO PARA A CAIXA ECONÔMICA FEDERAL - AGÊNCIA ILHÉUS (BAHIA) NO PERÍODO DE 2010 A 2012")</f>
        <v>FINANCIAMENTO HABITACIONAL E PARTICIPAÇÃO DO CORRESPONDENTE BANCÁRIO PARA A CAIXA ECONÔMICA FEDERAL - AGÊNCIA ILHÉUS (BAHIA) NO PERÍODO DE 2010 A 2012</v>
      </c>
      <c r="C434" s="33" t="s">
        <v>13</v>
      </c>
      <c r="D434" s="33" t="s">
        <v>1230</v>
      </c>
      <c r="E434" s="33" t="s">
        <v>1231</v>
      </c>
      <c r="F434" s="33" t="s">
        <v>356</v>
      </c>
      <c r="G434" s="34">
        <v>41451.0</v>
      </c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30"/>
      <c r="T434" s="30"/>
      <c r="U434" s="30"/>
      <c r="V434" s="30"/>
      <c r="W434" s="30"/>
      <c r="X434" s="30"/>
      <c r="Y434" s="30"/>
      <c r="Z434" s="30"/>
    </row>
    <row r="435" ht="28.5" customHeight="1">
      <c r="A435" s="25" t="s">
        <v>1232</v>
      </c>
      <c r="B435" s="26" t="str">
        <f>HYPERLINK("https://drive.google.com/file/d/1gnRU7CDO9BRAe_HESN858RseCXivfyAS/view?usp=sharing","CONTRIBUIÇÕES AO DEBATE SOBRE BANCARIZAÇÃO NO BRASIL CONTEMPORÂNEO.")</f>
        <v>CONTRIBUIÇÕES AO DEBATE SOBRE BANCARIZAÇÃO NO BRASIL CONTEMPORÂNEO.</v>
      </c>
      <c r="C435" s="27" t="s">
        <v>70</v>
      </c>
      <c r="D435" s="27" t="s">
        <v>1233</v>
      </c>
      <c r="E435" s="27" t="s">
        <v>1234</v>
      </c>
      <c r="F435" s="27" t="s">
        <v>184</v>
      </c>
      <c r="G435" s="28">
        <v>41624.0</v>
      </c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30"/>
      <c r="T435" s="30"/>
      <c r="U435" s="30"/>
      <c r="V435" s="30"/>
      <c r="W435" s="30"/>
      <c r="X435" s="30"/>
      <c r="Y435" s="30"/>
      <c r="Z435" s="30"/>
    </row>
    <row r="436" ht="38.25" customHeight="1">
      <c r="A436" s="31" t="s">
        <v>1235</v>
      </c>
      <c r="B436" s="32" t="str">
        <f>HYPERLINK("https://drive.google.com/file/d/10FTDGbwh0f9e2JloqiXddCqqHmzV43py/view?usp=sharing","PERMANÊNCIA ESTUDANTIL NO CONTEXTO DAS AÇÕES AFIRMATIVAS DA UNIVERSIDADE ESTADUAL DE SANTA CRUZ")</f>
        <v>PERMANÊNCIA ESTUDANTIL NO CONTEXTO DAS AÇÕES AFIRMATIVAS DA UNIVERSIDADE ESTADUAL DE SANTA CRUZ</v>
      </c>
      <c r="C436" s="33" t="s">
        <v>137</v>
      </c>
      <c r="D436" s="33" t="s">
        <v>1236</v>
      </c>
      <c r="E436" s="33" t="s">
        <v>1237</v>
      </c>
      <c r="F436" s="33" t="s">
        <v>861</v>
      </c>
      <c r="G436" s="34">
        <v>41617.0</v>
      </c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30"/>
      <c r="T436" s="30"/>
      <c r="U436" s="30"/>
      <c r="V436" s="30"/>
      <c r="W436" s="30"/>
      <c r="X436" s="30"/>
      <c r="Y436" s="30"/>
      <c r="Z436" s="30"/>
    </row>
    <row r="437" ht="38.25" customHeight="1">
      <c r="A437" s="25" t="s">
        <v>1238</v>
      </c>
      <c r="B437" s="26" t="str">
        <f>HYPERLINK("https://drive.google.com/file/d/1sfF7sq3ALFZraOz6y0KaCRKdpEkFbHBW/view?usp=sharing","PREVISÃO DE PREÇO DAS AÇÕES DA BRASKEM: UMA ANÁLISE A PARTIR DO MODELO ARIMA.")</f>
        <v>PREVISÃO DE PREÇO DAS AÇÕES DA BRASKEM: UMA ANÁLISE A PARTIR DO MODELO ARIMA.</v>
      </c>
      <c r="C437" s="27" t="s">
        <v>767</v>
      </c>
      <c r="D437" s="27" t="s">
        <v>1239</v>
      </c>
      <c r="E437" s="27" t="s">
        <v>1240</v>
      </c>
      <c r="F437" s="27" t="s">
        <v>1044</v>
      </c>
      <c r="G437" s="28">
        <v>41450.0</v>
      </c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30"/>
      <c r="T437" s="30"/>
      <c r="U437" s="30"/>
      <c r="V437" s="30"/>
      <c r="W437" s="30"/>
      <c r="X437" s="30"/>
      <c r="Y437" s="30"/>
      <c r="Z437" s="30"/>
    </row>
    <row r="438" ht="28.5" customHeight="1">
      <c r="A438" s="31" t="s">
        <v>1241</v>
      </c>
      <c r="B438" s="32" t="str">
        <f>HYPERLINK("https://drive.google.com/file/d/1xCCkA1gZbdqKU_0jbGxWlMJD43q8rYup/view?usp=sharing","ANÁLISE DO DESENVOLVIMENTO ECONÔMICO DA BAHIA, NO PERÍODO DE 1999 A 2008")</f>
        <v>ANÁLISE DO DESENVOLVIMENTO ECONÔMICO DA BAHIA, NO PERÍODO DE 1999 A 2008</v>
      </c>
      <c r="C438" s="33" t="s">
        <v>167</v>
      </c>
      <c r="D438" s="33" t="s">
        <v>481</v>
      </c>
      <c r="E438" s="33" t="s">
        <v>1242</v>
      </c>
      <c r="F438" s="33" t="s">
        <v>205</v>
      </c>
      <c r="G438" s="34">
        <v>41577.0</v>
      </c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30"/>
      <c r="T438" s="30"/>
      <c r="U438" s="30"/>
      <c r="V438" s="30"/>
      <c r="W438" s="30"/>
      <c r="X438" s="30"/>
      <c r="Y438" s="30"/>
      <c r="Z438" s="30"/>
    </row>
    <row r="439" ht="38.25" customHeight="1">
      <c r="A439" s="25" t="s">
        <v>1243</v>
      </c>
      <c r="B439" s="26" t="str">
        <f>HYPERLINK("https://drive.google.com/file/d/1BBno2_BTinRpVayib5IontSzF2wYl-pA/view?usp=sharing","CARACTERIZAÇÃO SOCIOECONÔMICO DOS PESCADORES ARTESANAIS DA COMUNIDADE DE SÃO MIGUEL, ILHÉUS-BA.")</f>
        <v>CARACTERIZAÇÃO SOCIOECONÔMICO DOS PESCADORES ARTESANAIS DA COMUNIDADE DE SÃO MIGUEL, ILHÉUS-BA.</v>
      </c>
      <c r="C439" s="27" t="s">
        <v>61</v>
      </c>
      <c r="D439" s="27" t="s">
        <v>1244</v>
      </c>
      <c r="E439" s="27" t="s">
        <v>1245</v>
      </c>
      <c r="F439" s="27" t="s">
        <v>73</v>
      </c>
      <c r="G439" s="28">
        <v>41445.0</v>
      </c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30"/>
      <c r="T439" s="30"/>
      <c r="U439" s="30"/>
      <c r="V439" s="30"/>
      <c r="W439" s="30"/>
      <c r="X439" s="30"/>
      <c r="Y439" s="30"/>
      <c r="Z439" s="30"/>
    </row>
    <row r="440" ht="51.0" customHeight="1">
      <c r="A440" s="31" t="s">
        <v>1246</v>
      </c>
      <c r="B440" s="32" t="str">
        <f>HYPERLINK("https://drive.google.com/file/d/1nI7xqRX-mtC3ABfWb39Fr0or_qb2KU6g/view?usp=sharing","A IMPORTÂNCIA DA CONSERVAÇÃO E RECUPERAÇÃO DA PRAIA DA COROINHA EM ITACARÉ-BAHIA: UMA APLICAÇÃO DO MÉTODO DE VALORAÇÃO AMBIENTAL CONTIGENTE")</f>
        <v>A IMPORTÂNCIA DA CONSERVAÇÃO E RECUPERAÇÃO DA PRAIA DA COROINHA EM ITACARÉ-BAHIA: UMA APLICAÇÃO DO MÉTODO DE VALORAÇÃO AMBIENTAL CONTIGENTE</v>
      </c>
      <c r="C440" s="33" t="s">
        <v>43</v>
      </c>
      <c r="D440" s="33" t="s">
        <v>1247</v>
      </c>
      <c r="E440" s="33" t="s">
        <v>1248</v>
      </c>
      <c r="F440" s="33" t="s">
        <v>963</v>
      </c>
      <c r="G440" s="34">
        <v>41452.0</v>
      </c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30"/>
      <c r="T440" s="30"/>
      <c r="U440" s="30"/>
      <c r="V440" s="30"/>
      <c r="W440" s="30"/>
      <c r="X440" s="30"/>
      <c r="Y440" s="30"/>
      <c r="Z440" s="30"/>
    </row>
    <row r="441" ht="51.0" customHeight="1">
      <c r="A441" s="25" t="s">
        <v>1249</v>
      </c>
      <c r="B441" s="26" t="str">
        <f>HYPERLINK("https://drive.google.com/file/d/1fTmIchJ-YVmjm-OF3Pq9OmgC401hBcD7/view?usp=sharing","AÇÕES AFIRMATIVAS NA UESC: A RELAÇÃO ENTRE OS ASPECTOS SOCIOECONÔMICOS E A ESCOLHA DO CURSO UNIVERSITÁRIO DOS COTISTAS NEGROS NO PERÍODO DE 2009 A 2011")</f>
        <v>AÇÕES AFIRMATIVAS NA UESC: A RELAÇÃO ENTRE OS ASPECTOS SOCIOECONÔMICOS E A ESCOLHA DO CURSO UNIVERSITÁRIO DOS COTISTAS NEGROS NO PERÍODO DE 2009 A 2011</v>
      </c>
      <c r="C441" s="27" t="s">
        <v>1022</v>
      </c>
      <c r="D441" s="27" t="s">
        <v>1250</v>
      </c>
      <c r="E441" s="27" t="s">
        <v>1251</v>
      </c>
      <c r="F441" s="27" t="s">
        <v>861</v>
      </c>
      <c r="G441" s="28">
        <v>41452.0</v>
      </c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30"/>
      <c r="T441" s="30"/>
      <c r="U441" s="30"/>
      <c r="V441" s="30"/>
      <c r="W441" s="30"/>
      <c r="X441" s="30"/>
      <c r="Y441" s="30"/>
      <c r="Z441" s="30"/>
    </row>
    <row r="442" ht="63.75" customHeight="1">
      <c r="A442" s="31" t="s">
        <v>1252</v>
      </c>
      <c r="B442" s="32" t="str">
        <f>HYPERLINK("https://drive.google.com/file/d/1vupUItIEWMsDyuOnYUsuT3B7aQb29BFY/view?usp=sharing","POLÍTICAS PÚBLICAS PARA O DESENVOLVIMENTO ECONÔMICO: REFLEXÕES ACERCA DA INTERVENÇÃO DO ESTADO NO FOMENTO DO PÓLO DE INFORMÁTICA DE ILHÉUS-BAHIA")</f>
        <v>POLÍTICAS PÚBLICAS PARA O DESENVOLVIMENTO ECONÔMICO: REFLEXÕES ACERCA DA INTERVENÇÃO DO ESTADO NO FOMENTO DO PÓLO DE INFORMÁTICA DE ILHÉUS-BAHIA</v>
      </c>
      <c r="C442" s="33" t="s">
        <v>23</v>
      </c>
      <c r="D442" s="33" t="s">
        <v>1253</v>
      </c>
      <c r="E442" s="33" t="s">
        <v>1254</v>
      </c>
      <c r="F442" s="33" t="s">
        <v>232</v>
      </c>
      <c r="G442" s="34">
        <v>41445.0</v>
      </c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30"/>
      <c r="T442" s="30"/>
      <c r="U442" s="30"/>
      <c r="V442" s="30"/>
      <c r="W442" s="30"/>
      <c r="X442" s="30"/>
      <c r="Y442" s="30"/>
      <c r="Z442" s="30"/>
    </row>
    <row r="443" ht="38.25" customHeight="1">
      <c r="A443" s="25" t="s">
        <v>1255</v>
      </c>
      <c r="B443" s="26" t="str">
        <f>HYPERLINK("https://drive.google.com/file/d/1tK98Jq1dLLBhE--YttaWKRoAr1Tckam6/view?usp=sharing","ANÁLISE DO MERCADO DE TRABALHO POR GÊNERO NO ESTADO DA BAHIA: EVIDÊNCIAS DO PERÍODO DE 2001 A 2011.")</f>
        <v>ANÁLISE DO MERCADO DE TRABALHO POR GÊNERO NO ESTADO DA BAHIA: EVIDÊNCIAS DO PERÍODO DE 2001 A 2011.</v>
      </c>
      <c r="C443" s="27" t="s">
        <v>18</v>
      </c>
      <c r="D443" s="27" t="s">
        <v>1256</v>
      </c>
      <c r="E443" s="27" t="s">
        <v>1257</v>
      </c>
      <c r="F443" s="27" t="s">
        <v>64</v>
      </c>
      <c r="G443" s="28">
        <v>41452.0</v>
      </c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30"/>
      <c r="T443" s="30"/>
      <c r="U443" s="30"/>
      <c r="V443" s="30"/>
      <c r="W443" s="30"/>
      <c r="X443" s="30"/>
      <c r="Y443" s="30"/>
      <c r="Z443" s="30"/>
    </row>
    <row r="444" ht="51.0" customHeight="1">
      <c r="A444" s="31" t="s">
        <v>1258</v>
      </c>
      <c r="B444" s="32" t="str">
        <f>HYPERLINK("https://drive.google.com/file/d/1hGOj0PDocugJuvJ1HvjeV1czVk5s0EuN/view?usp=sharing","TRANSFERÊNCIA DE RENDA DIRETA: A EVOLUÇÃO DO PROGRAMA BOLSA FAMÍLIA NO MUNICÍPIO DE ITABUNA-BAHIA, NO PERÍODO DE 2004 A 2012.")</f>
        <v>TRANSFERÊNCIA DE RENDA DIRETA: A EVOLUÇÃO DO PROGRAMA BOLSA FAMÍLIA NO MUNICÍPIO DE ITABUNA-BAHIA, NO PERÍODO DE 2004 A 2012.</v>
      </c>
      <c r="C444" s="33" t="s">
        <v>23</v>
      </c>
      <c r="D444" s="33" t="s">
        <v>1259</v>
      </c>
      <c r="E444" s="33" t="s">
        <v>1260</v>
      </c>
      <c r="F444" s="33" t="s">
        <v>685</v>
      </c>
      <c r="G444" s="34">
        <v>41613.0</v>
      </c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30"/>
      <c r="T444" s="30"/>
      <c r="U444" s="30"/>
      <c r="V444" s="30"/>
      <c r="W444" s="30"/>
      <c r="X444" s="30"/>
      <c r="Y444" s="30"/>
      <c r="Z444" s="30"/>
    </row>
    <row r="445" ht="51.0" customHeight="1">
      <c r="A445" s="25" t="s">
        <v>1261</v>
      </c>
      <c r="B445" s="26" t="str">
        <f>HYPERLINK("https://drive.google.com/file/d/1hkRIeYYxyWb2Grp8235-ofKOSTxi10ti/view?usp=sharing","O GRAU DE EDUCAÇÃO FINANCEIRA DOS DISCENTES DO CURSO DE CIÊNCIAS ECONÔMICAS DA UNIVERSIDADE ESTADUAL DE SANTA CRUZ")</f>
        <v>O GRAU DE EDUCAÇÃO FINANCEIRA DOS DISCENTES DO CURSO DE CIÊNCIAS ECONÔMICAS DA UNIVERSIDADE ESTADUAL DE SANTA CRUZ</v>
      </c>
      <c r="C445" s="27" t="s">
        <v>70</v>
      </c>
      <c r="D445" s="27" t="s">
        <v>1262</v>
      </c>
      <c r="E445" s="27" t="s">
        <v>1263</v>
      </c>
      <c r="F445" s="27" t="s">
        <v>356</v>
      </c>
      <c r="G445" s="28">
        <v>41617.0</v>
      </c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30"/>
      <c r="T445" s="30"/>
      <c r="U445" s="30"/>
      <c r="V445" s="30"/>
      <c r="W445" s="30"/>
      <c r="X445" s="30"/>
      <c r="Y445" s="30"/>
      <c r="Z445" s="30"/>
    </row>
    <row r="446" ht="38.25" customHeight="1">
      <c r="A446" s="31" t="s">
        <v>1264</v>
      </c>
      <c r="B446" s="32" t="str">
        <f>HYPERLINK("https://drive.google.com/file/d/1ZYfGtkA1MAi3T767iDq7cgdAaWxSGj2r/view?usp=sharing","MICROEMPREENDEDORES INDIVIDUAIS NA CIDADE DE ITABUNA BAHIA: CARACTERIZAÇÃO DAS DEZ ATIVIDADES MAIS FREQUENTES")</f>
        <v>MICROEMPREENDEDORES INDIVIDUAIS NA CIDADE DE ITABUNA BAHIA: CARACTERIZAÇÃO DAS DEZ ATIVIDADES MAIS FREQUENTES</v>
      </c>
      <c r="C446" s="33" t="s">
        <v>380</v>
      </c>
      <c r="D446" s="33" t="s">
        <v>1265</v>
      </c>
      <c r="E446" s="33" t="s">
        <v>1266</v>
      </c>
      <c r="F446" s="33" t="s">
        <v>1267</v>
      </c>
      <c r="G446" s="34">
        <v>41618.0</v>
      </c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30"/>
      <c r="T446" s="30"/>
      <c r="U446" s="30"/>
      <c r="V446" s="30"/>
      <c r="W446" s="30"/>
      <c r="X446" s="30"/>
      <c r="Y446" s="30"/>
      <c r="Z446" s="30"/>
    </row>
    <row r="447" ht="38.25" customHeight="1">
      <c r="A447" s="25" t="s">
        <v>1268</v>
      </c>
      <c r="B447" s="26" t="str">
        <f>HYPERLINK("https://drive.google.com/file/d/1XRg21G9763ItgZD3Uik81O0x_pUCaWu_/view?usp=sharing","CONSIDERAÇÕES AO DESEMPENHO DA ECONOMIA BRASILEIRA NO PERÍODO DE 1995 A 2010.")</f>
        <v>CONSIDERAÇÕES AO DESEMPENHO DA ECONOMIA BRASILEIRA NO PERÍODO DE 1995 A 2010.</v>
      </c>
      <c r="C447" s="27" t="s">
        <v>543</v>
      </c>
      <c r="D447" s="27" t="s">
        <v>1269</v>
      </c>
      <c r="E447" s="27" t="s">
        <v>1270</v>
      </c>
      <c r="F447" s="27" t="s">
        <v>1271</v>
      </c>
      <c r="G447" s="28">
        <v>41617.0</v>
      </c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30"/>
      <c r="T447" s="30"/>
      <c r="U447" s="30"/>
      <c r="V447" s="30"/>
      <c r="W447" s="30"/>
      <c r="X447" s="30"/>
      <c r="Y447" s="30"/>
      <c r="Z447" s="30"/>
    </row>
    <row r="448" ht="38.25" customHeight="1">
      <c r="A448" s="31" t="s">
        <v>1272</v>
      </c>
      <c r="B448" s="32" t="str">
        <f>HYPERLINK("https://drive.google.com/file/d/1a3PcaQVusGhhjsCMHPJjgEuz-2MkpJKn/view?usp=sharing","POLÍTICAS PÚBLICAS PARA O SETOR AGRÍCOLA NO MUNICÍPIO DE ITABUNA-BAHIA APÓS A DÉCADA DE 1990")</f>
        <v>POLÍTICAS PÚBLICAS PARA O SETOR AGRÍCOLA NO MUNICÍPIO DE ITABUNA-BAHIA APÓS A DÉCADA DE 1990</v>
      </c>
      <c r="C448" s="33" t="s">
        <v>1022</v>
      </c>
      <c r="D448" s="33" t="s">
        <v>1273</v>
      </c>
      <c r="E448" s="33" t="s">
        <v>1274</v>
      </c>
      <c r="F448" s="33" t="s">
        <v>232</v>
      </c>
      <c r="G448" s="34">
        <v>41452.0</v>
      </c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30"/>
      <c r="T448" s="30"/>
      <c r="U448" s="30"/>
      <c r="V448" s="30"/>
      <c r="W448" s="30"/>
      <c r="X448" s="30"/>
      <c r="Y448" s="30"/>
      <c r="Z448" s="30"/>
    </row>
    <row r="449" ht="76.5" customHeight="1">
      <c r="A449" s="25" t="s">
        <v>1275</v>
      </c>
      <c r="B449" s="26" t="str">
        <f>HYPERLINK("https://drive.google.com/file/d/1bVYxDo6MPbv-hW8C8lVfvLIDWxwWLbV2/view?usp=sharing","BENEFÍCIOS DOS NÍVEIS DIFERENCIADOS DE GOVERNANÇA CORPORATIVA DA BM &amp; FBOVESPA: IMPACTOS SOBRE O CONTROLE ACIONÁRIO, A PARTICIPAÇÃO DO PEQUENO INVESTIDOR E O VOLUME FINANCEIRO NO SETOR ELÉTRICO")</f>
        <v>BENEFÍCIOS DOS NÍVEIS DIFERENCIADOS DE GOVERNANÇA CORPORATIVA DA BM &amp; FBOVESPA: IMPACTOS SOBRE O CONTROLE ACIONÁRIO, A PARTICIPAÇÃO DO PEQUENO INVESTIDOR E O VOLUME FINANCEIRO NO SETOR ELÉTRICO</v>
      </c>
      <c r="C449" s="27" t="s">
        <v>767</v>
      </c>
      <c r="D449" s="27" t="s">
        <v>1276</v>
      </c>
      <c r="E449" s="27" t="s">
        <v>1277</v>
      </c>
      <c r="F449" s="27" t="s">
        <v>1044</v>
      </c>
      <c r="G449" s="28">
        <v>41617.0</v>
      </c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30"/>
      <c r="T449" s="30"/>
      <c r="U449" s="30"/>
      <c r="V449" s="30"/>
      <c r="W449" s="30"/>
      <c r="X449" s="30"/>
      <c r="Y449" s="30"/>
      <c r="Z449" s="30"/>
    </row>
    <row r="450" ht="28.5" customHeight="1">
      <c r="A450" s="31" t="s">
        <v>1278</v>
      </c>
      <c r="B450" s="32" t="str">
        <f>HYPERLINK("https://drive.google.com/file/d/1KIvd9S9FoEKXpjvgtZZMzsfP6Inp_qCG/view?usp=sharing","PANORAMA DO SANEAMENTO BÁSICO NO MUNICÍPIO DE ITABUNA-BAHIA DE 2000 A 2010")</f>
        <v>PANORAMA DO SANEAMENTO BÁSICO NO MUNICÍPIO DE ITABUNA-BAHIA DE 2000 A 2010</v>
      </c>
      <c r="C450" s="33" t="s">
        <v>195</v>
      </c>
      <c r="D450" s="33" t="s">
        <v>1279</v>
      </c>
      <c r="E450" s="33" t="s">
        <v>1280</v>
      </c>
      <c r="F450" s="33" t="s">
        <v>64</v>
      </c>
      <c r="G450" s="34">
        <v>41624.0</v>
      </c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30"/>
      <c r="T450" s="30"/>
      <c r="U450" s="30"/>
      <c r="V450" s="30"/>
      <c r="W450" s="30"/>
      <c r="X450" s="30"/>
      <c r="Y450" s="30"/>
      <c r="Z450" s="30"/>
    </row>
    <row r="451" ht="63.75" customHeight="1">
      <c r="A451" s="25" t="s">
        <v>1281</v>
      </c>
      <c r="B451" s="26" t="str">
        <f>HYPERLINK("https://drive.google.com/file/d/1T2ZBHmH8WfxuuaG5zty4og21T0XfTcZP/view?usp=sharing","DEPENDÊNCIA ECONÔMICA DAS TRANSFERÊNCIAS INTERGOVERNAMENTAIS PARA COMPOSIÇÃO DAS RECEITAS DOS MUNICÍPIOS DA MICRORREGIÃO ILHÉUS-ITABUNA NA BAHIA")</f>
        <v>DEPENDÊNCIA ECONÔMICA DAS TRANSFERÊNCIAS INTERGOVERNAMENTAIS PARA COMPOSIÇÃO DAS RECEITAS DOS MUNICÍPIOS DA MICRORREGIÃO ILHÉUS-ITABUNA NA BAHIA</v>
      </c>
      <c r="C451" s="27" t="s">
        <v>96</v>
      </c>
      <c r="D451" s="27" t="s">
        <v>1282</v>
      </c>
      <c r="E451" s="27" t="s">
        <v>1283</v>
      </c>
      <c r="F451" s="27" t="s">
        <v>399</v>
      </c>
      <c r="G451" s="28">
        <v>41444.0</v>
      </c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30"/>
      <c r="T451" s="30"/>
      <c r="U451" s="30"/>
      <c r="V451" s="30"/>
      <c r="W451" s="30"/>
      <c r="X451" s="30"/>
      <c r="Y451" s="30"/>
      <c r="Z451" s="30"/>
    </row>
    <row r="452" ht="51.0" customHeight="1">
      <c r="A452" s="31" t="s">
        <v>1284</v>
      </c>
      <c r="B452" s="32" t="str">
        <f>HYPERLINK("https://drive.google.com/file/d/1mSWlMzO6gVTeoxxHf7A_6Cn_7cF1qA7S/view?usp=sharing","UMA ANÁLISE DO ÍNDICE DE DESENVOLVIMENTO HUMANO SOB A PERSPECTIVA DA REALIDADE NO MUNICÍPIO DE UNA, BAHIA, NO PERÍODO DE 1991 A 2010.")</f>
        <v>UMA ANÁLISE DO ÍNDICE DE DESENVOLVIMENTO HUMANO SOB A PERSPECTIVA DA REALIDADE NO MUNICÍPIO DE UNA, BAHIA, NO PERÍODO DE 1991 A 2010.</v>
      </c>
      <c r="C452" s="33" t="s">
        <v>61</v>
      </c>
      <c r="D452" s="33" t="s">
        <v>1285</v>
      </c>
      <c r="E452" s="33" t="s">
        <v>1286</v>
      </c>
      <c r="F452" s="33" t="s">
        <v>1287</v>
      </c>
      <c r="G452" s="34">
        <v>41614.0</v>
      </c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30"/>
      <c r="T452" s="30"/>
      <c r="U452" s="30"/>
      <c r="V452" s="30"/>
      <c r="W452" s="30"/>
      <c r="X452" s="30"/>
      <c r="Y452" s="30"/>
      <c r="Z452" s="30"/>
    </row>
    <row r="453" ht="38.25" customHeight="1">
      <c r="A453" s="25" t="s">
        <v>1288</v>
      </c>
      <c r="B453" s="26" t="str">
        <f>HYPERLINK("https://drive.google.com/file/d/1fLBN7AcTS0BotYng-F8cE8OLxT4OYXZ9/view?usp=sharing","O DESENVOLVIMENTO ECONÔMICO E INDUSTRIAL DO BRASIL ENTRE OS ANOS DE 2000 E 2010")</f>
        <v>O DESENVOLVIMENTO ECONÔMICO E INDUSTRIAL DO BRASIL ENTRE OS ANOS DE 2000 E 2010</v>
      </c>
      <c r="C453" s="27" t="s">
        <v>61</v>
      </c>
      <c r="D453" s="27" t="s">
        <v>1289</v>
      </c>
      <c r="E453" s="27" t="s">
        <v>1290</v>
      </c>
      <c r="F453" s="27" t="s">
        <v>1287</v>
      </c>
      <c r="G453" s="28">
        <v>41614.0</v>
      </c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30"/>
      <c r="T453" s="30"/>
      <c r="U453" s="30"/>
      <c r="V453" s="30"/>
      <c r="W453" s="30"/>
      <c r="X453" s="30"/>
      <c r="Y453" s="30"/>
      <c r="Z453" s="30"/>
    </row>
    <row r="454" ht="38.25" customHeight="1">
      <c r="A454" s="31" t="s">
        <v>1291</v>
      </c>
      <c r="B454" s="32" t="str">
        <f>HYPERLINK("https://drive.google.com/file/d/1uglMRhNKcKfbUycpPEDcNbRTlTOZL6DT/view?usp=sharing","A EVOLUÇÃO DOS INVESTIMENTOS EM APLICAÇÕES FINANCEIRAS NO BRASIL, DE 2001 A 2012")</f>
        <v>A EVOLUÇÃO DOS INVESTIMENTOS EM APLICAÇÕES FINANCEIRAS NO BRASIL, DE 2001 A 2012</v>
      </c>
      <c r="C454" s="33" t="s">
        <v>767</v>
      </c>
      <c r="D454" s="33" t="s">
        <v>1292</v>
      </c>
      <c r="E454" s="33" t="s">
        <v>1293</v>
      </c>
      <c r="F454" s="33" t="s">
        <v>1044</v>
      </c>
      <c r="G454" s="34">
        <v>41451.0</v>
      </c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30"/>
      <c r="T454" s="30"/>
      <c r="U454" s="30"/>
      <c r="V454" s="30"/>
      <c r="W454" s="30"/>
      <c r="X454" s="30"/>
      <c r="Y454" s="30"/>
      <c r="Z454" s="30"/>
    </row>
    <row r="455" ht="28.5" customHeight="1">
      <c r="A455" s="25" t="s">
        <v>1294</v>
      </c>
      <c r="B455" s="26" t="str">
        <f>HYPERLINK("https://drive.google.com/file/d/1btE5unjpJBljWApOb8YpfHDoTEbwHMV5/view?usp=sharing","EVOLUÇÃO DO FLUXO TURÍSTICO NO ESTADO DA BAHIA, NO PERÍODO DE 2003 A 2011")</f>
        <v>EVOLUÇÃO DO FLUXO TURÍSTICO NO ESTADO DA BAHIA, NO PERÍODO DE 2003 A 2011</v>
      </c>
      <c r="C455" s="27" t="s">
        <v>33</v>
      </c>
      <c r="D455" s="27" t="s">
        <v>1295</v>
      </c>
      <c r="E455" s="27" t="s">
        <v>1296</v>
      </c>
      <c r="F455" s="27" t="s">
        <v>64</v>
      </c>
      <c r="G455" s="28">
        <v>41431.0</v>
      </c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30"/>
      <c r="T455" s="30"/>
      <c r="U455" s="30"/>
      <c r="V455" s="30"/>
      <c r="W455" s="30"/>
      <c r="X455" s="30"/>
      <c r="Y455" s="30"/>
      <c r="Z455" s="30"/>
    </row>
    <row r="456" ht="51.0" customHeight="1">
      <c r="A456" s="31" t="s">
        <v>1297</v>
      </c>
      <c r="B456" s="32" t="str">
        <f>HYPERLINK("https://drive.google.com/file/d/1XJMbadXsPfrn2hHChXgmWwMb6wWpEp9k/view?usp=sharing","COMPLEXO PORTO SUL E AS COMUNIDADES DO ENTORNO: CARACTERIZAÇÃO SOCIOECONÔMICA E VISÃO DAS COMUNIDADES LOCAIS.")</f>
        <v>COMPLEXO PORTO SUL E AS COMUNIDADES DO ENTORNO: CARACTERIZAÇÃO SOCIOECONÔMICA E VISÃO DAS COMUNIDADES LOCAIS.</v>
      </c>
      <c r="C456" s="33" t="s">
        <v>276</v>
      </c>
      <c r="D456" s="33" t="s">
        <v>1298</v>
      </c>
      <c r="E456" s="33" t="s">
        <v>1299</v>
      </c>
      <c r="F456" s="33" t="s">
        <v>540</v>
      </c>
      <c r="G456" s="34">
        <v>41452.0</v>
      </c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30"/>
      <c r="T456" s="30"/>
      <c r="U456" s="30"/>
      <c r="V456" s="30"/>
      <c r="W456" s="30"/>
      <c r="X456" s="30"/>
      <c r="Y456" s="30"/>
      <c r="Z456" s="30"/>
    </row>
    <row r="457" ht="42.75" customHeight="1">
      <c r="A457" s="25" t="s">
        <v>1300</v>
      </c>
      <c r="B457" s="26" t="str">
        <f>HYPERLINK("https://drive.google.com/file/d/1aBRVM13OL9DVRoM5MHuGqW6-AwFLo_ko/view?usp=sharing","ANÁLISE DA CIDADE DE ITABUNA (BAHIA) COMO POLO DE CRESCIMENTO DO LITORAL SUL DA BAHIA NO PERÍODO DE 2003 A 2011")</f>
        <v>ANÁLISE DA CIDADE DE ITABUNA (BAHIA) COMO POLO DE CRESCIMENTO DO LITORAL SUL DA BAHIA NO PERÍODO DE 2003 A 2011</v>
      </c>
      <c r="C457" s="27" t="s">
        <v>338</v>
      </c>
      <c r="D457" s="27" t="s">
        <v>1301</v>
      </c>
      <c r="E457" s="27" t="s">
        <v>1302</v>
      </c>
      <c r="F457" s="27" t="s">
        <v>356</v>
      </c>
      <c r="G457" s="28">
        <v>41446.0</v>
      </c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30"/>
      <c r="T457" s="30"/>
      <c r="U457" s="30"/>
      <c r="V457" s="30"/>
      <c r="W457" s="30"/>
      <c r="X457" s="30"/>
      <c r="Y457" s="30"/>
      <c r="Z457" s="30"/>
    </row>
    <row r="458" ht="51.0" customHeight="1">
      <c r="A458" s="31" t="s">
        <v>1303</v>
      </c>
      <c r="B458" s="32" t="str">
        <f>HYPERLINK("https://drive.google.com/file/d/1RhJG1Y58WqEkKfO1r-ykCzjNRC2Tl4JT/view?usp=sharing","ANÁLISE DA EVOLUÇÃO DO EMPRÉSTIMO CONSIGNADO DOS BENEFICIÁRIOS DA PREVIDÊNCIA SOCIAL DO MUNICÍPIO DE ITABUNA NO PERÍODO DE 2004 A 2011")</f>
        <v>ANÁLISE DA EVOLUÇÃO DO EMPRÉSTIMO CONSIGNADO DOS BENEFICIÁRIOS DA PREVIDÊNCIA SOCIAL DO MUNICÍPIO DE ITABUNA NO PERÍODO DE 2004 A 2011</v>
      </c>
      <c r="C458" s="33" t="s">
        <v>13</v>
      </c>
      <c r="D458" s="33" t="s">
        <v>1304</v>
      </c>
      <c r="E458" s="33" t="s">
        <v>1305</v>
      </c>
      <c r="F458" s="33" t="s">
        <v>356</v>
      </c>
      <c r="G458" s="34">
        <v>41451.0</v>
      </c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30"/>
      <c r="T458" s="30"/>
      <c r="U458" s="30"/>
      <c r="V458" s="30"/>
      <c r="W458" s="30"/>
      <c r="X458" s="30"/>
      <c r="Y458" s="30"/>
      <c r="Z458" s="30"/>
    </row>
    <row r="459" ht="28.5" customHeight="1">
      <c r="A459" s="25" t="s">
        <v>1306</v>
      </c>
      <c r="B459" s="26" t="str">
        <f>HYPERLINK("https://drive.google.com/file/d/1KJ-p9KeO-cftDN6FrW4HOqObv0SuQ6yp/view?usp=sharing","O EFEITO SAZONALIDADE-PREÇO DO TOMATE SOBRE O CUSTO DA CESTA BÁSICA ")</f>
        <v>O EFEITO SAZONALIDADE-PREÇO DO TOMATE SOBRE O CUSTO DA CESTA BÁSICA </v>
      </c>
      <c r="C459" s="27" t="s">
        <v>583</v>
      </c>
      <c r="D459" s="27" t="s">
        <v>1307</v>
      </c>
      <c r="E459" s="27" t="s">
        <v>1308</v>
      </c>
      <c r="F459" s="27" t="s">
        <v>73</v>
      </c>
      <c r="G459" s="28">
        <v>41617.0</v>
      </c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30"/>
      <c r="T459" s="30"/>
      <c r="U459" s="30"/>
      <c r="V459" s="30"/>
      <c r="W459" s="30"/>
      <c r="X459" s="30"/>
      <c r="Y459" s="30"/>
      <c r="Z459" s="30"/>
    </row>
    <row r="460" ht="28.5" customHeight="1">
      <c r="A460" s="31" t="s">
        <v>1309</v>
      </c>
      <c r="B460" s="32" t="str">
        <f>HYPERLINK("https://drive.google.com/file/d/1IAf7YhRfRD8FDsq3h0MWlTkv9hu88C3C/view?usp=sharing","ANÁLISE ECONÔMICA DA PRODUÇÃO DE ETANOL DE CANA-DE-AÇÚCAR NO BRASIL")</f>
        <v>ANÁLISE ECONÔMICA DA PRODUÇÃO DE ETANOL DE CANA-DE-AÇÚCAR NO BRASIL</v>
      </c>
      <c r="C460" s="33" t="s">
        <v>116</v>
      </c>
      <c r="D460" s="33" t="s">
        <v>1310</v>
      </c>
      <c r="E460" s="33" t="s">
        <v>1311</v>
      </c>
      <c r="F460" s="33" t="s">
        <v>73</v>
      </c>
      <c r="G460" s="34">
        <v>41354.0</v>
      </c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30"/>
      <c r="T460" s="30"/>
      <c r="U460" s="30"/>
      <c r="V460" s="30"/>
      <c r="W460" s="30"/>
      <c r="X460" s="30"/>
      <c r="Y460" s="30"/>
      <c r="Z460" s="30"/>
    </row>
    <row r="461" ht="51.0" customHeight="1">
      <c r="A461" s="25" t="s">
        <v>1312</v>
      </c>
      <c r="B461" s="26" t="str">
        <f>HYPERLINK("https://drive.google.com/file/d/13UsNHWta0wYs1RQlgBVCVoxtt2RGmpux/view?usp=sharing","ESTUDO DA PARTICIPAÇÃO DA ECONOMIA DO SETOR PÚBLICO NO PIB DOS MUNICÍPIOS DA MICRORREGIÃO ILHÉUS-ITABUNA (BAHIA), 2005 - 2008")</f>
        <v>ESTUDO DA PARTICIPAÇÃO DA ECONOMIA DO SETOR PÚBLICO NO PIB DOS MUNICÍPIOS DA MICRORREGIÃO ILHÉUS-ITABUNA (BAHIA), 2005 - 2008</v>
      </c>
      <c r="C461" s="27" t="s">
        <v>23</v>
      </c>
      <c r="D461" s="27" t="s">
        <v>1313</v>
      </c>
      <c r="E461" s="27" t="s">
        <v>1314</v>
      </c>
      <c r="F461" s="27" t="s">
        <v>147</v>
      </c>
      <c r="G461" s="28">
        <v>41621.0</v>
      </c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30"/>
      <c r="T461" s="30"/>
      <c r="U461" s="30"/>
      <c r="V461" s="30"/>
      <c r="W461" s="30"/>
      <c r="X461" s="30"/>
      <c r="Y461" s="30"/>
      <c r="Z461" s="30"/>
    </row>
    <row r="462" ht="38.25" customHeight="1">
      <c r="A462" s="31" t="s">
        <v>1315</v>
      </c>
      <c r="B462" s="32" t="str">
        <f>HYPERLINK("https://drive.google.com/file/d/1X7LUiIOFgKups-6S-G5b6ADoTGiFyVrf/view?usp=sharing","NOVAÇÃO E COMPETITIVIDADE NO SETOR AUTOMOTIVO NO BRASIL: UMA BREVE REVISÃO BIBLIOGRÁFICA")</f>
        <v>NOVAÇÃO E COMPETITIVIDADE NO SETOR AUTOMOTIVO NO BRASIL: UMA BREVE REVISÃO BIBLIOGRÁFICA</v>
      </c>
      <c r="C462" s="33" t="s">
        <v>301</v>
      </c>
      <c r="D462" s="33" t="s">
        <v>1316</v>
      </c>
      <c r="E462" s="33" t="s">
        <v>1317</v>
      </c>
      <c r="F462" s="33" t="s">
        <v>1124</v>
      </c>
      <c r="G462" s="34">
        <v>41617.0</v>
      </c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30"/>
      <c r="T462" s="30"/>
      <c r="U462" s="30"/>
      <c r="V462" s="30"/>
      <c r="W462" s="30"/>
      <c r="X462" s="30"/>
      <c r="Y462" s="30"/>
      <c r="Z462" s="30"/>
    </row>
    <row r="463" ht="38.25" customHeight="1">
      <c r="A463" s="25" t="s">
        <v>1318</v>
      </c>
      <c r="B463" s="26" t="str">
        <f>HYPERLINK("https://drive.google.com/file/d/1r3CRssuXVdS9-XbN1m-FwUlgbI88bNyu/view?usp=sharing","INOVAÇÃO E COMPETITIVIDADE EM UMA EMPRESA DE RECICLAGEM, NO MUNICÍPIO DE ITABUNA, BAHIA")</f>
        <v>INOVAÇÃO E COMPETITIVIDADE EM UMA EMPRESA DE RECICLAGEM, NO MUNICÍPIO DE ITABUNA, BAHIA</v>
      </c>
      <c r="C463" s="27" t="s">
        <v>43</v>
      </c>
      <c r="D463" s="27" t="s">
        <v>1319</v>
      </c>
      <c r="E463" s="27" t="s">
        <v>1320</v>
      </c>
      <c r="F463" s="27" t="s">
        <v>947</v>
      </c>
      <c r="G463" s="28">
        <v>41624.0</v>
      </c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30"/>
      <c r="T463" s="30"/>
      <c r="U463" s="30"/>
      <c r="V463" s="30"/>
      <c r="W463" s="30"/>
      <c r="X463" s="30"/>
      <c r="Y463" s="30"/>
      <c r="Z463" s="30"/>
    </row>
    <row r="464" ht="63.75" customHeight="1">
      <c r="A464" s="31" t="s">
        <v>1321</v>
      </c>
      <c r="B464" s="32" t="str">
        <f>HYPERLINK("https://drive.google.com/file/d/13aRA94HUnBVR4rqhS99MWmiuAAIpT6yO/view?usp=sharing","INSERÇÃO FEMININA NO MERCADO DE TRABALHO NA CIDADE DE ITABUNA- BAHIA E SUA PARTICIPAÇÃO NA RENDA FAMILIAR: UM ESTUDO DE CASO DO GRUPO BURITI – LOJAS DE MATERIAL DE CONSTRUÇÃO")</f>
        <v>INSERÇÃO FEMININA NO MERCADO DE TRABALHO NA CIDADE DE ITABUNA- BAHIA E SUA PARTICIPAÇÃO NA RENDA FAMILIAR: UM ESTUDO DE CASO DO GRUPO BURITI – LOJAS DE MATERIAL DE CONSTRUÇÃO</v>
      </c>
      <c r="C464" s="33" t="s">
        <v>18</v>
      </c>
      <c r="D464" s="33" t="s">
        <v>1322</v>
      </c>
      <c r="E464" s="33" t="s">
        <v>1323</v>
      </c>
      <c r="F464" s="33" t="s">
        <v>356</v>
      </c>
      <c r="G464" s="34">
        <v>41624.0</v>
      </c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30"/>
      <c r="T464" s="30"/>
      <c r="U464" s="30"/>
      <c r="V464" s="30"/>
      <c r="W464" s="30"/>
      <c r="X464" s="30"/>
      <c r="Y464" s="30"/>
      <c r="Z464" s="30"/>
    </row>
    <row r="465" ht="42.75" customHeight="1">
      <c r="A465" s="25" t="s">
        <v>1324</v>
      </c>
      <c r="B465" s="26" t="str">
        <f>HYPERLINK("https://drive.google.com/file/d/1Z3Otc2OqtYK8VxhAIzItWWbmV_JETBuU/view?usp=sharing","DESEMPENHO COMERCIAL DO BRASIL NO MERCOSUL, DE 1990 A 2011")</f>
        <v>DESEMPENHO COMERCIAL DO BRASIL NO MERCOSUL, DE 1990 A 2011</v>
      </c>
      <c r="C465" s="27" t="s">
        <v>252</v>
      </c>
      <c r="D465" s="27" t="s">
        <v>1325</v>
      </c>
      <c r="E465" s="27" t="s">
        <v>1326</v>
      </c>
      <c r="F465" s="27" t="s">
        <v>947</v>
      </c>
      <c r="G465" s="28">
        <v>41445.0</v>
      </c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30"/>
      <c r="T465" s="30"/>
      <c r="U465" s="30"/>
      <c r="V465" s="30"/>
      <c r="W465" s="30"/>
      <c r="X465" s="30"/>
      <c r="Y465" s="30"/>
      <c r="Z465" s="30"/>
    </row>
    <row r="466" ht="51.0" customHeight="1">
      <c r="A466" s="31" t="s">
        <v>1327</v>
      </c>
      <c r="B466" s="32" t="str">
        <f>HYPERLINK("https://drive.google.com/file/d/1uO04W5ZK5KGrYSe7TrhCxoJZmfHCW9tA/view?usp=sharing","COMPORTAMENTO MERCADO IMOBILIÁRIO VERTICAL NO MUNICÍPIO DE ILHÉUS-BAHIA NO PERÍODO DE 2007 A 2012: UMA PERSPECTIVA DA OFERTA.")</f>
        <v>COMPORTAMENTO MERCADO IMOBILIÁRIO VERTICAL NO MUNICÍPIO DE ILHÉUS-BAHIA NO PERÍODO DE 2007 A 2012: UMA PERSPECTIVA DA OFERTA.</v>
      </c>
      <c r="C466" s="33" t="s">
        <v>338</v>
      </c>
      <c r="D466" s="33" t="s">
        <v>1328</v>
      </c>
      <c r="E466" s="33" t="s">
        <v>1329</v>
      </c>
      <c r="F466" s="33" t="s">
        <v>356</v>
      </c>
      <c r="G466" s="34">
        <v>41452.0</v>
      </c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30"/>
      <c r="T466" s="30"/>
      <c r="U466" s="30"/>
      <c r="V466" s="30"/>
      <c r="W466" s="30"/>
      <c r="X466" s="30"/>
      <c r="Y466" s="30"/>
      <c r="Z466" s="30"/>
    </row>
    <row r="467" ht="51.0" customHeight="1">
      <c r="A467" s="25" t="s">
        <v>1330</v>
      </c>
      <c r="B467" s="26" t="str">
        <f>HYPERLINK("https://drive.google.com/file/d/1aUz4em3ivxpzmFZEw2DEMF1_P20Nokbl/view?usp=sharing","O CONSUMO DE ENERGIA ELÉTRICA COMO INDICADOR DE CRESCIMENTO ECONÔMICO NO MUNICÍPIO DE ITABUNA (BAHIA) NO PERÍODO DE 1990 A 2012")</f>
        <v>O CONSUMO DE ENERGIA ELÉTRICA COMO INDICADOR DE CRESCIMENTO ECONÔMICO NO MUNICÍPIO DE ITABUNA (BAHIA) NO PERÍODO DE 1990 A 2012</v>
      </c>
      <c r="C467" s="27" t="s">
        <v>61</v>
      </c>
      <c r="D467" s="27" t="s">
        <v>1331</v>
      </c>
      <c r="E467" s="27" t="s">
        <v>1332</v>
      </c>
      <c r="F467" s="27" t="s">
        <v>356</v>
      </c>
      <c r="G467" s="28">
        <v>41621.0</v>
      </c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30"/>
      <c r="T467" s="30"/>
      <c r="U467" s="30"/>
      <c r="V467" s="30"/>
      <c r="W467" s="30"/>
      <c r="X467" s="30"/>
      <c r="Y467" s="30"/>
      <c r="Z467" s="30"/>
    </row>
    <row r="468" ht="42.75" customHeight="1">
      <c r="A468" s="31" t="s">
        <v>1333</v>
      </c>
      <c r="B468" s="32" t="str">
        <f>HYPERLINK("https://drive.google.com/file/d/1v8sE0Uha8kK3e2cqyJW9v_PDy5iLFLSY/view?usp=sharing","ANÁLISE DOS PROGRAMAS DE TRANSFERÊNCIA DE RENDA NA BAHIA, NO PERÍODO DE 2004 A 2010")</f>
        <v>ANÁLISE DOS PROGRAMAS DE TRANSFERÊNCIA DE RENDA NA BAHIA, NO PERÍODO DE 2004 A 2010</v>
      </c>
      <c r="C468" s="33" t="s">
        <v>61</v>
      </c>
      <c r="D468" s="33" t="s">
        <v>1334</v>
      </c>
      <c r="E468" s="33" t="s">
        <v>1335</v>
      </c>
      <c r="F468" s="33" t="s">
        <v>685</v>
      </c>
      <c r="G468" s="34">
        <v>41612.0</v>
      </c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30"/>
      <c r="T468" s="30"/>
      <c r="U468" s="30"/>
      <c r="V468" s="30"/>
      <c r="W468" s="30"/>
      <c r="X468" s="30"/>
      <c r="Y468" s="30"/>
      <c r="Z468" s="30"/>
    </row>
    <row r="469" ht="28.5" customHeight="1">
      <c r="A469" s="25" t="s">
        <v>1336</v>
      </c>
      <c r="B469" s="26" t="str">
        <f>HYPERLINK("https://drive.google.com/file/d/1N1qAVazbrVTq_daIHtdpqDEzqknyzbNa/view?usp=sharing","ANÁLISE DA EVOLUÇÃO DO MERCADO DE SOJA E A GERAÇÃO DE DIVISAS PARA O BRASIL ")</f>
        <v>ANÁLISE DA EVOLUÇÃO DO MERCADO DE SOJA E A GERAÇÃO DE DIVISAS PARA O BRASIL </v>
      </c>
      <c r="C469" s="27" t="s">
        <v>47</v>
      </c>
      <c r="D469" s="27" t="s">
        <v>1337</v>
      </c>
      <c r="E469" s="27" t="s">
        <v>1338</v>
      </c>
      <c r="F469" s="27" t="s">
        <v>73</v>
      </c>
      <c r="G469" s="28">
        <v>41617.0</v>
      </c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30"/>
      <c r="T469" s="30"/>
      <c r="U469" s="30"/>
      <c r="V469" s="30"/>
      <c r="W469" s="30"/>
      <c r="X469" s="30"/>
      <c r="Y469" s="30"/>
      <c r="Z469" s="30"/>
    </row>
    <row r="470" ht="38.25" customHeight="1">
      <c r="A470" s="31" t="s">
        <v>1339</v>
      </c>
      <c r="B470" s="32" t="str">
        <f>HYPERLINK("https://drive.google.com/file/d/1cHMhIFDGQpwdHQ1mwi2qrMyjzCIkPrR9/view?usp=sharing","ANÁLISE DO CONSUMO DE BENS FONOGRÁFICOS NO MUNICÍPIO DE ITABUNA-BAHIA")</f>
        <v>ANÁLISE DO CONSUMO DE BENS FONOGRÁFICOS NO MUNICÍPIO DE ITABUNA-BAHIA</v>
      </c>
      <c r="C470" s="33" t="s">
        <v>116</v>
      </c>
      <c r="D470" s="33" t="s">
        <v>1340</v>
      </c>
      <c r="E470" s="33" t="s">
        <v>1341</v>
      </c>
      <c r="F470" s="33" t="s">
        <v>114</v>
      </c>
      <c r="G470" s="34">
        <v>41659.0</v>
      </c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30"/>
      <c r="T470" s="30"/>
      <c r="U470" s="30"/>
      <c r="V470" s="30"/>
      <c r="W470" s="30"/>
      <c r="X470" s="30"/>
      <c r="Y470" s="30"/>
      <c r="Z470" s="30"/>
    </row>
    <row r="471" ht="42.75" customHeight="1">
      <c r="A471" s="25" t="s">
        <v>1342</v>
      </c>
      <c r="B471" s="26" t="str">
        <f>HYPERLINK("https://drive.google.com/file/d/14toS8CgjoEZ4CyMoPDxPFR1eUXqKz36q/view?usp=sharing","ANÁLISE DAS EMPRESAS DE HIGIENE, ESTÉTICA E BELEZA NO MUNICÍPIO DE ITABUNA - BAHIA")</f>
        <v>ANÁLISE DAS EMPRESAS DE HIGIENE, ESTÉTICA E BELEZA NO MUNICÍPIO DE ITABUNA - BAHIA</v>
      </c>
      <c r="C471" s="27" t="s">
        <v>111</v>
      </c>
      <c r="D471" s="27" t="s">
        <v>1343</v>
      </c>
      <c r="E471" s="27" t="s">
        <v>1344</v>
      </c>
      <c r="F471" s="27" t="s">
        <v>205</v>
      </c>
      <c r="G471" s="28">
        <v>41621.0</v>
      </c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30"/>
      <c r="T471" s="30"/>
      <c r="U471" s="30"/>
      <c r="V471" s="30"/>
      <c r="W471" s="30"/>
      <c r="X471" s="30"/>
      <c r="Y471" s="30"/>
      <c r="Z471" s="30"/>
    </row>
    <row r="472" ht="38.25" customHeight="1">
      <c r="A472" s="31" t="s">
        <v>1345</v>
      </c>
      <c r="B472" s="32" t="str">
        <f>HYPERLINK("https://drive.google.com/file/d/18gqG_bG5PvIwP5yn7SNChGmYknVetCH1/view?usp=sharing","EDUCAÇÃO E PLANEJAMENTO FINANCEIRO E O ENDIVIDAMENTO DAS FAMÍLIAS BRASILEIRAS PELO CRÉDITO IMOBILIÁRIO")</f>
        <v>EDUCAÇÃO E PLANEJAMENTO FINANCEIRO E O ENDIVIDAMENTO DAS FAMÍLIAS BRASILEIRAS PELO CRÉDITO IMOBILIÁRIO</v>
      </c>
      <c r="C472" s="33" t="s">
        <v>1346</v>
      </c>
      <c r="D472" s="33" t="s">
        <v>1347</v>
      </c>
      <c r="E472" s="33" t="s">
        <v>1348</v>
      </c>
      <c r="F472" s="33" t="s">
        <v>356</v>
      </c>
      <c r="G472" s="34">
        <v>41620.0</v>
      </c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30"/>
      <c r="T472" s="30"/>
      <c r="U472" s="30"/>
      <c r="V472" s="30"/>
      <c r="W472" s="30"/>
      <c r="X472" s="30"/>
      <c r="Y472" s="30"/>
      <c r="Z472" s="30"/>
    </row>
    <row r="473" ht="42.75" customHeight="1">
      <c r="A473" s="25" t="s">
        <v>1349</v>
      </c>
      <c r="B473" s="26" t="str">
        <f>HYPERLINK("https://drive.google.com/file/d/1HQ_pIQJcZssISCltpdSDsDI2eQO9ZJqw/view?usp=sharing","ANÁLISE DO DESENVOLVIMENTO ECONÔMICO DOS MUNICÍPIOS DE ITABUNA E ILHÉUS-BAHIA NO PERÍODO ENTRE 1990 A 2010")</f>
        <v>ANÁLISE DO DESENVOLVIMENTO ECONÔMICO DOS MUNICÍPIOS DE ITABUNA E ILHÉUS-BAHIA NO PERÍODO ENTRE 1990 A 2010</v>
      </c>
      <c r="C473" s="27" t="s">
        <v>61</v>
      </c>
      <c r="D473" s="27" t="s">
        <v>1350</v>
      </c>
      <c r="E473" s="27" t="s">
        <v>1351</v>
      </c>
      <c r="F473" s="27" t="s">
        <v>1083</v>
      </c>
      <c r="G473" s="28">
        <v>41624.0</v>
      </c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30"/>
      <c r="T473" s="30"/>
      <c r="U473" s="30"/>
      <c r="V473" s="30"/>
      <c r="W473" s="30"/>
      <c r="X473" s="30"/>
      <c r="Y473" s="30"/>
      <c r="Z473" s="30"/>
    </row>
    <row r="474" ht="51.0" customHeight="1">
      <c r="A474" s="31" t="s">
        <v>1352</v>
      </c>
      <c r="B474" s="32" t="str">
        <f>HYPERLINK("https://drive.google.com/file/d/1pUi-uWz77Vfy1XCH91VMGVp6cPkYx5hM/view?usp=sharing","VARIÁVEIS AMBIENTAIS E PREÇO DE IMÓVEL NA ZONA SUL DA CIDADE DE ILHÉUS - BAHIA: UMA ABORDAGEM A PARTIR DA UTILIZAÇÃO DO MÉTODO DE PREÇOS HEDÔNICOS")</f>
        <v>VARIÁVEIS AMBIENTAIS E PREÇO DE IMÓVEL NA ZONA SUL DA CIDADE DE ILHÉUS - BAHIA: UMA ABORDAGEM A PARTIR DA UTILIZAÇÃO DO MÉTODO DE PREÇOS HEDÔNICOS</v>
      </c>
      <c r="C474" s="33" t="s">
        <v>43</v>
      </c>
      <c r="D474" s="33" t="s">
        <v>1353</v>
      </c>
      <c r="E474" s="33" t="s">
        <v>1354</v>
      </c>
      <c r="F474" s="33" t="s">
        <v>963</v>
      </c>
      <c r="G474" s="34">
        <v>41432.0</v>
      </c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30"/>
      <c r="T474" s="30"/>
      <c r="U474" s="30"/>
      <c r="V474" s="30"/>
      <c r="W474" s="30"/>
      <c r="X474" s="30"/>
      <c r="Y474" s="30"/>
      <c r="Z474" s="30"/>
    </row>
    <row r="475" ht="51.75" customHeight="1">
      <c r="A475" s="25" t="s">
        <v>1355</v>
      </c>
      <c r="B475" s="26" t="str">
        <f>HYPERLINK("https://drive.google.com/file/d/1vuZZFCGJTNKORkzHryQEZmVhNfAI1xM7/view?usp=sharing","PREVIDÊNCIA SOCIAL: UMA ANÁLISE SOBRE A SUA INFLUÊNCIA NO DESEMPENHO ECONÔMICO DOS MUNICÍPIOS DO LITORAL SUL DA BAHIA")</f>
        <v>PREVIDÊNCIA SOCIAL: UMA ANÁLISE SOBRE A SUA INFLUÊNCIA NO DESEMPENHO ECONÔMICO DOS MUNICÍPIOS DO LITORAL SUL DA BAHIA</v>
      </c>
      <c r="C475" s="27" t="s">
        <v>137</v>
      </c>
      <c r="D475" s="27" t="s">
        <v>1356</v>
      </c>
      <c r="E475" s="27" t="s">
        <v>1357</v>
      </c>
      <c r="F475" s="27" t="s">
        <v>147</v>
      </c>
      <c r="G475" s="28">
        <v>41624.0</v>
      </c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30"/>
      <c r="T475" s="30"/>
      <c r="U475" s="30"/>
      <c r="V475" s="30"/>
      <c r="W475" s="30"/>
      <c r="X475" s="30"/>
      <c r="Y475" s="30"/>
      <c r="Z475" s="30"/>
    </row>
    <row r="476" ht="38.25" customHeight="1">
      <c r="A476" s="25" t="s">
        <v>1358</v>
      </c>
      <c r="B476" s="26" t="str">
        <f>HYPERLINK("https://drive.google.com/file/d/1b3dTK_PutnVjdvxaZWgomMndY3osmleK/view?usp=sharing","A ANÁLISE DO COMPORTAMENTO DO SALÁRIO REAL E DAS CONDIÇÕES DE VIDA DO TRABALHADOR NO GOVERNO LULA")</f>
        <v>A ANÁLISE DO COMPORTAMENTO DO SALÁRIO REAL E DAS CONDIÇÕES DE VIDA DO TRABALHADOR NO GOVERNO LULA</v>
      </c>
      <c r="C476" s="27" t="s">
        <v>814</v>
      </c>
      <c r="D476" s="27" t="s">
        <v>1359</v>
      </c>
      <c r="E476" s="27" t="s">
        <v>1360</v>
      </c>
      <c r="F476" s="27" t="s">
        <v>1011</v>
      </c>
      <c r="G476" s="28">
        <v>41795.0</v>
      </c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30"/>
      <c r="T476" s="30"/>
      <c r="U476" s="30"/>
      <c r="V476" s="30"/>
      <c r="W476" s="30"/>
      <c r="X476" s="30"/>
      <c r="Y476" s="30"/>
      <c r="Z476" s="30"/>
    </row>
    <row r="477" ht="28.5" customHeight="1">
      <c r="A477" s="31" t="s">
        <v>1361</v>
      </c>
      <c r="B477" s="32" t="str">
        <f>HYPERLINK("https://drive.google.com/file/d/1o2L7oKcj7XG9md7DlrpRst3kCu2SL7fD/view?usp=sharing","A MISTIFICAÇÃO DA LIBERDADE NO CAPITALISMO CONTEMPORÂNEO")</f>
        <v>A MISTIFICAÇÃO DA LIBERDADE NO CAPITALISMO CONTEMPORÂNEO</v>
      </c>
      <c r="C477" s="33" t="s">
        <v>814</v>
      </c>
      <c r="D477" s="33" t="s">
        <v>1362</v>
      </c>
      <c r="E477" s="33" t="s">
        <v>1363</v>
      </c>
      <c r="F477" s="33" t="s">
        <v>1011</v>
      </c>
      <c r="G477" s="34">
        <v>41794.0</v>
      </c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30"/>
      <c r="T477" s="30"/>
      <c r="U477" s="30"/>
      <c r="V477" s="30"/>
      <c r="W477" s="30"/>
      <c r="X477" s="30"/>
      <c r="Y477" s="30"/>
      <c r="Z477" s="30"/>
    </row>
    <row r="478" ht="38.25" customHeight="1">
      <c r="A478" s="25" t="s">
        <v>1364</v>
      </c>
      <c r="B478" s="26" t="str">
        <f>HYPERLINK("https://drive.google.com/file/d/1dmm1bwDs6g7AsKw2r99GFky3kP-d32fy/view?usp=sharing","RESPONSABILIDADE SOCIAL EMPRESARIAL NA ÁREA DA SAÚDE: O CASO DO HOSPITAL AMES, NA CIDADE DE EUNÁPOLIS, BAHIA EM 2010.")</f>
        <v>RESPONSABILIDADE SOCIAL EMPRESARIAL NA ÁREA DA SAÚDE: O CASO DO HOSPITAL AMES, NA CIDADE DE EUNÁPOLIS, BAHIA EM 2010.</v>
      </c>
      <c r="C478" s="27" t="s">
        <v>1121</v>
      </c>
      <c r="D478" s="27" t="s">
        <v>1365</v>
      </c>
      <c r="E478" s="27" t="s">
        <v>1366</v>
      </c>
      <c r="F478" s="27" t="s">
        <v>64</v>
      </c>
      <c r="G478" s="28">
        <v>41808.0</v>
      </c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30"/>
      <c r="T478" s="30"/>
      <c r="U478" s="30"/>
      <c r="V478" s="30"/>
      <c r="W478" s="30"/>
      <c r="X478" s="30"/>
      <c r="Y478" s="30"/>
      <c r="Z478" s="30"/>
    </row>
    <row r="479" ht="42.75" customHeight="1">
      <c r="A479" s="31" t="s">
        <v>1367</v>
      </c>
      <c r="B479" s="32" t="str">
        <f>HYPERLINK("https://drive.google.com/file/d/1tsYzcRnLVoZTvhwyqOcMNxPumQy0k-1j/view?usp=sharing","O SENTIDO DA ECONOMIA POLÍTICA NO BRASIL: UMA ABORDAGEM A PARTIR DOS ESCRITOS DE JOSÉ DA SILVA LISBOA")</f>
        <v>O SENTIDO DA ECONOMIA POLÍTICA NO BRASIL: UMA ABORDAGEM A PARTIR DOS ESCRITOS DE JOSÉ DA SILVA LISBOA</v>
      </c>
      <c r="C479" s="33" t="s">
        <v>814</v>
      </c>
      <c r="D479" s="33" t="s">
        <v>1368</v>
      </c>
      <c r="E479" s="33" t="s">
        <v>1369</v>
      </c>
      <c r="F479" s="33" t="s">
        <v>1011</v>
      </c>
      <c r="G479" s="34">
        <v>41823.0</v>
      </c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63.75" customHeight="1">
      <c r="A480" s="25" t="s">
        <v>1370</v>
      </c>
      <c r="B480" s="26" t="str">
        <f>HYPERLINK("https://drive.google.com/file/d/1SmxkhQBhdO-6bx774Mc1av-6zTpYreVF/view?usp=sharing","CONTRIBUIÇÕES AO DEBATE SOBRE RACIONALIDADE ECONÔMICA: UM ESTDUO COMPARATIVO DAS PERSPECTIVAS ORTODOXA, NOVO INSTITUCIONALISTA E COMPORTAMENTALISTA")</f>
        <v>CONTRIBUIÇÕES AO DEBATE SOBRE RACIONALIDADE ECONÔMICA: UM ESTDUO COMPARATIVO DAS PERSPECTIVAS ORTODOXA, NOVO INSTITUCIONALISTA E COMPORTAMENTALISTA</v>
      </c>
      <c r="C480" s="27" t="s">
        <v>311</v>
      </c>
      <c r="D480" s="27" t="s">
        <v>1371</v>
      </c>
      <c r="E480" s="27" t="s">
        <v>1372</v>
      </c>
      <c r="F480" s="27" t="s">
        <v>180</v>
      </c>
      <c r="G480" s="28">
        <v>41817.0</v>
      </c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30"/>
      <c r="T480" s="30"/>
      <c r="U480" s="30"/>
      <c r="V480" s="30"/>
      <c r="W480" s="30"/>
      <c r="X480" s="30"/>
      <c r="Y480" s="30"/>
      <c r="Z480" s="30"/>
    </row>
    <row r="481" ht="42.75" customHeight="1">
      <c r="A481" s="31" t="s">
        <v>1373</v>
      </c>
      <c r="B481" s="61" t="str">
        <f>HYPERLINK("https://drive.google.com/file/d/1sSk9-GnNqvGlDFdjdSBg-8qN_0xkGuG_/view?usp=sharing","SEGURANÇA ALIMENTAR E PROGRAMA BOLSA FAMÍLIA NO MUNICÍPIO DE ITABUNA - BAHIA")</f>
        <v>SEGURANÇA ALIMENTAR E PROGRAMA BOLSA FAMÍLIA NO MUNICÍPIO DE ITABUNA - BAHIA</v>
      </c>
      <c r="C481" s="48" t="s">
        <v>61</v>
      </c>
      <c r="D481" s="33" t="s">
        <v>1374</v>
      </c>
      <c r="E481" s="33" t="s">
        <v>1375</v>
      </c>
      <c r="F481" s="33" t="s">
        <v>1185</v>
      </c>
      <c r="G481" s="36">
        <v>2014.0</v>
      </c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30"/>
      <c r="T481" s="30"/>
      <c r="U481" s="30"/>
      <c r="V481" s="30"/>
      <c r="W481" s="30"/>
      <c r="X481" s="30"/>
      <c r="Y481" s="30"/>
      <c r="Z481" s="30"/>
    </row>
    <row r="482" ht="57.0" customHeight="1">
      <c r="A482" s="25" t="s">
        <v>1376</v>
      </c>
      <c r="B482" s="26" t="str">
        <f>HYPERLINK("https://drive.google.com/file/d/11x12NPJ6aZoh5mfqWr5yZVE95W4aaNuR/view?usp=sharing","ECONOMIA SOLIDÁRIA: UM ESTUDO DE CASO DO CENTRO PÚBLICO DE ECONOMIA SOLIDÁRIA DO LITORAL SUL DO ESTADO DA BAHIA NO PERÍODO DE 2013")</f>
        <v>ECONOMIA SOLIDÁRIA: UM ESTUDO DE CASO DO CENTRO PÚBLICO DE ECONOMIA SOLIDÁRIA DO LITORAL SUL DO ESTADO DA BAHIA NO PERÍODO DE 2013</v>
      </c>
      <c r="C482" s="27" t="s">
        <v>276</v>
      </c>
      <c r="D482" s="27" t="s">
        <v>1377</v>
      </c>
      <c r="E482" s="27" t="s">
        <v>1378</v>
      </c>
      <c r="F482" s="27" t="s">
        <v>1267</v>
      </c>
      <c r="G482" s="28">
        <v>41824.0</v>
      </c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30"/>
      <c r="T482" s="30"/>
      <c r="U482" s="30"/>
      <c r="V482" s="30"/>
      <c r="W482" s="30"/>
      <c r="X482" s="30"/>
      <c r="Y482" s="30"/>
      <c r="Z482" s="30"/>
    </row>
    <row r="483" ht="38.25" customHeight="1">
      <c r="A483" s="31" t="s">
        <v>1379</v>
      </c>
      <c r="B483" s="32" t="str">
        <f>HYPERLINK("https://drive.google.com/file/d/1Ya5ZrQTt89L--ww6s7IqrRLB89IDSZFT/view?usp=sharing","ANÁLISE DA EVOLUÇÃO DA PRODUÇÃO DE CANA-DE-AÇÚCAR E FABRICAÇÃO DE ETANOL NO BRASIL")</f>
        <v>ANÁLISE DA EVOLUÇÃO DA PRODUÇÃO DE CANA-DE-AÇÚCAR E FABRICAÇÃO DE ETANOL NO BRASIL</v>
      </c>
      <c r="C483" s="33" t="s">
        <v>47</v>
      </c>
      <c r="D483" s="33" t="s">
        <v>1380</v>
      </c>
      <c r="E483" s="33" t="s">
        <v>1381</v>
      </c>
      <c r="F483" s="33" t="s">
        <v>16</v>
      </c>
      <c r="G483" s="34">
        <v>41824.0</v>
      </c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30"/>
      <c r="T483" s="30"/>
      <c r="U483" s="30"/>
      <c r="V483" s="30"/>
      <c r="W483" s="30"/>
      <c r="X483" s="30"/>
      <c r="Y483" s="30"/>
      <c r="Z483" s="30"/>
    </row>
    <row r="484" ht="90.0" customHeight="1">
      <c r="A484" s="25" t="s">
        <v>1382</v>
      </c>
      <c r="B484" s="26" t="str">
        <f>HYPERLINK("https://drive.google.com/file/d/1Y6z5ebAgvEHX3Lu3CJeXkn88rvsBJ6Z6/view?usp=sharing","CRESCIMENTO ECONÔMICO DOS MUNICÍPIOS DO ESTADO DA BAHIA NO PERÍODO DE 1996 A 2010: UMA ANÁLISE DA CONVERGÊNCIA DE RENDA COM BASE NO MODELO DE MANKIW, ROMER E WEIL (1992)")</f>
        <v>CRESCIMENTO ECONÔMICO DOS MUNICÍPIOS DO ESTADO DA BAHIA NO PERÍODO DE 1996 A 2010: UMA ANÁLISE DA CONVERGÊNCIA DE RENDA COM BASE NO MODELO DE MANKIW, ROMER E WEIL (1992)</v>
      </c>
      <c r="C484" s="27" t="s">
        <v>195</v>
      </c>
      <c r="D484" s="27" t="s">
        <v>1383</v>
      </c>
      <c r="E484" s="27" t="s">
        <v>1384</v>
      </c>
      <c r="F484" s="27" t="s">
        <v>1385</v>
      </c>
      <c r="G484" s="28">
        <v>41823.0</v>
      </c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30"/>
      <c r="T484" s="30"/>
      <c r="U484" s="30"/>
      <c r="V484" s="30"/>
      <c r="W484" s="30"/>
      <c r="X484" s="30"/>
      <c r="Y484" s="30"/>
      <c r="Z484" s="30"/>
    </row>
    <row r="485" ht="51.0" customHeight="1">
      <c r="A485" s="31" t="s">
        <v>1386</v>
      </c>
      <c r="B485" s="32" t="str">
        <f>HYPERLINK("https://drive.google.com/file/d/1SbS2C3f3u6YiaG8SryvnlCFLUAOLM9Ce/view?usp=sharing","A INFLUÊNCIA DA GOVERNANÇA CORPORATIVA NO DESEMPENHO DAS EMPRESAS DO SETOR ELÉTRICO BRASILEIRO NO PERÍODO DE 2010 A 2013")</f>
        <v>A INFLUÊNCIA DA GOVERNANÇA CORPORATIVA NO DESEMPENHO DAS EMPRESAS DO SETOR ELÉTRICO BRASILEIRO NO PERÍODO DE 2010 A 2013</v>
      </c>
      <c r="C485" s="33" t="s">
        <v>410</v>
      </c>
      <c r="D485" s="33" t="s">
        <v>1387</v>
      </c>
      <c r="E485" s="33" t="s">
        <v>1388</v>
      </c>
      <c r="F485" s="33" t="s">
        <v>1044</v>
      </c>
      <c r="G485" s="34">
        <v>41827.0</v>
      </c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30"/>
      <c r="T485" s="30"/>
      <c r="U485" s="30"/>
      <c r="V485" s="30"/>
      <c r="W485" s="30"/>
      <c r="X485" s="30"/>
      <c r="Y485" s="30"/>
      <c r="Z485" s="30"/>
    </row>
    <row r="486" ht="51.0" customHeight="1">
      <c r="A486" s="25" t="s">
        <v>1389</v>
      </c>
      <c r="B486" s="26" t="str">
        <f>HYPERLINK("https://drive.google.com/file/d/1XnpB09O0k0aRKcxgHBoDqg03pWfCDVDw/view?usp=sharing","ESTUDO DE VIABILIDADE ECONÔMICA PARA CONSTITUIÇÃO DE UMA COOPERATIVA DE MARISCOS NO ALTO DO MAMBAPE NO MUNICÍPIO DE ILHÉUS - BA")</f>
        <v>ESTUDO DE VIABILIDADE ECONÔMICA PARA CONSTITUIÇÃO DE UMA COOPERATIVA DE MARISCOS NO ALTO DO MAMBAPE NO MUNICÍPIO DE ILHÉUS - BA</v>
      </c>
      <c r="C486" s="27" t="s">
        <v>1390</v>
      </c>
      <c r="D486" s="27" t="s">
        <v>1391</v>
      </c>
      <c r="E486" s="27" t="s">
        <v>1392</v>
      </c>
      <c r="F486" s="27" t="s">
        <v>16</v>
      </c>
      <c r="G486" s="28">
        <v>41824.0</v>
      </c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30"/>
      <c r="T486" s="30"/>
      <c r="U486" s="30"/>
      <c r="V486" s="30"/>
      <c r="W486" s="30"/>
      <c r="X486" s="30"/>
      <c r="Y486" s="30"/>
      <c r="Z486" s="30"/>
    </row>
    <row r="487" ht="51.0" customHeight="1">
      <c r="A487" s="31" t="s">
        <v>1393</v>
      </c>
      <c r="B487" s="32" t="str">
        <f>HYPERLINK("https://drive.google.com/file/d/1hfU6qkx1l9owBghmdN5CUDZ6wrhTqb9g/view?usp=sharing","PLANEJAMENTO FINANCEIRO E SUA RELAÇÃO COM A UTILIZAÇÃO DO CARTÃO DE CRÉDITO POR ESTUDANTES DA UNIVERSIDADE ESTADUAL DE SANTA CRUZ, ILHÉUS, BAHIA")</f>
        <v>PLANEJAMENTO FINANCEIRO E SUA RELAÇÃO COM A UTILIZAÇÃO DO CARTÃO DE CRÉDITO POR ESTUDANTES DA UNIVERSIDADE ESTADUAL DE SANTA CRUZ, ILHÉUS, BAHIA</v>
      </c>
      <c r="C487" s="33" t="s">
        <v>70</v>
      </c>
      <c r="D487" s="33" t="s">
        <v>1394</v>
      </c>
      <c r="E487" s="33" t="s">
        <v>1395</v>
      </c>
      <c r="F487" s="33" t="s">
        <v>356</v>
      </c>
      <c r="G487" s="34">
        <v>41827.0</v>
      </c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30"/>
      <c r="T487" s="30"/>
      <c r="U487" s="30"/>
      <c r="V487" s="30"/>
      <c r="W487" s="30"/>
      <c r="X487" s="30"/>
      <c r="Y487" s="30"/>
      <c r="Z487" s="30"/>
    </row>
    <row r="488" ht="63.75" customHeight="1">
      <c r="A488" s="25" t="s">
        <v>1396</v>
      </c>
      <c r="B488" s="26" t="str">
        <f>HYPERLINK("https://drive.google.com/file/d/189ZQzdzzZrkAO695-Rw5n-Egdgtdmx7v/view?usp=sharing","COOPERATIVA DE CRÉDITO DE LIVRE ADMISSÃO DE ASSOCIADOS DO LITORAL SUL DA BAHIA – SICOOB LITORAL SUL: UMA AVALIAÇÃO FINANCEIRA DO PERÍODO DE 2008 A 2013")</f>
        <v>COOPERATIVA DE CRÉDITO DE LIVRE ADMISSÃO DE ASSOCIADOS DO LITORAL SUL DA BAHIA – SICOOB LITORAL SUL: UMA AVALIAÇÃO FINANCEIRA DO PERÍODO DE 2008 A 2013</v>
      </c>
      <c r="C488" s="27" t="s">
        <v>38</v>
      </c>
      <c r="D488" s="27" t="s">
        <v>1397</v>
      </c>
      <c r="E488" s="27" t="s">
        <v>1398</v>
      </c>
      <c r="F488" s="27" t="s">
        <v>16</v>
      </c>
      <c r="G488" s="28">
        <v>41824.0</v>
      </c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30"/>
      <c r="T488" s="30"/>
      <c r="U488" s="30"/>
      <c r="V488" s="30"/>
      <c r="W488" s="30"/>
      <c r="X488" s="30"/>
      <c r="Y488" s="30"/>
      <c r="Z488" s="30"/>
    </row>
    <row r="489" ht="51.0" customHeight="1">
      <c r="A489" s="31" t="s">
        <v>1399</v>
      </c>
      <c r="B489" s="32" t="str">
        <f>HYPERLINK("https://drive.google.com/file/d/1nl-n63bRZnxQXPuusewzj8_oFJAmJOYz/view?usp=sharing","ANÁLISE DA GESTÃO EMPRESARIAL E DO PERFIL SOCIOECONÔMICO DO EMPREENDEDOR INDIVIDUAL NO BAIRRO SÃO CAETANO, ITABUNA-BA")</f>
        <v>ANÁLISE DA GESTÃO EMPRESARIAL E DO PERFIL SOCIOECONÔMICO DO EMPREENDEDOR INDIVIDUAL NO BAIRRO SÃO CAETANO, ITABUNA-BA</v>
      </c>
      <c r="C489" s="33" t="s">
        <v>1121</v>
      </c>
      <c r="D489" s="33" t="s">
        <v>1400</v>
      </c>
      <c r="E489" s="33" t="s">
        <v>1401</v>
      </c>
      <c r="F489" s="33" t="s">
        <v>205</v>
      </c>
      <c r="G489" s="34">
        <v>41823.0</v>
      </c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30"/>
      <c r="T489" s="30"/>
      <c r="U489" s="30"/>
      <c r="V489" s="30"/>
      <c r="W489" s="30"/>
      <c r="X489" s="30"/>
      <c r="Y489" s="30"/>
      <c r="Z489" s="30"/>
    </row>
    <row r="490" ht="57.0" customHeight="1">
      <c r="A490" s="25" t="s">
        <v>1402</v>
      </c>
      <c r="B490" s="26" t="str">
        <f>HYPERLINK("https://drive.google.com/file/d/10V3r5EZhT09jsYMsut5fFi7_3Ane83-q/view?usp=sharing","AS PERDAS NO FUNDO DE PARTICIPAÇÃO DOS MUNICÍPIOS (FPM) COM AS DESONERAÇÕES DO IPI: UMA ANÁLISE PARA OS MUNICÍPIOS DO SUL DA BAHIA ENTRE 2008 E 2012")</f>
        <v>AS PERDAS NO FUNDO DE PARTICIPAÇÃO DOS MUNICÍPIOS (FPM) COM AS DESONERAÇÕES DO IPI: UMA ANÁLISE PARA OS MUNICÍPIOS DO SUL DA BAHIA ENTRE 2008 E 2012</v>
      </c>
      <c r="C490" s="27" t="s">
        <v>23</v>
      </c>
      <c r="D490" s="27" t="s">
        <v>1403</v>
      </c>
      <c r="E490" s="27" t="s">
        <v>1404</v>
      </c>
      <c r="F490" s="27" t="s">
        <v>1287</v>
      </c>
      <c r="G490" s="28">
        <v>41823.0</v>
      </c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30"/>
      <c r="T490" s="30"/>
      <c r="U490" s="30"/>
      <c r="V490" s="30"/>
      <c r="W490" s="30"/>
      <c r="X490" s="30"/>
      <c r="Y490" s="30"/>
      <c r="Z490" s="30"/>
    </row>
    <row r="491" ht="57.0" customHeight="1">
      <c r="A491" s="31" t="s">
        <v>1405</v>
      </c>
      <c r="B491" s="32" t="str">
        <f>HYPERLINK("https://drive.google.com/file/d/1IvzqhsQ1DRBDp2SCqjOmPexxDgeLWXQO/view?usp=sharing","UMA OBSERVAÇÃO SOBRE A LEI DE RESPONSABILIDADE FISCAL E AS DESPESAS PÚBLICAS DO MUNICÍPIO DE IBIRAPITANGA/BA ENTRE 2001 E 2012")</f>
        <v>UMA OBSERVAÇÃO SOBRE A LEI DE RESPONSABILIDADE FISCAL E AS DESPESAS PÚBLICAS DO MUNICÍPIO DE IBIRAPITANGA/BA ENTRE 2001 E 2012</v>
      </c>
      <c r="C491" s="33" t="s">
        <v>23</v>
      </c>
      <c r="D491" s="33" t="s">
        <v>1406</v>
      </c>
      <c r="E491" s="33" t="s">
        <v>1407</v>
      </c>
      <c r="F491" s="33" t="s">
        <v>1287</v>
      </c>
      <c r="G491" s="34">
        <v>41823.0</v>
      </c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30"/>
      <c r="T491" s="30"/>
      <c r="U491" s="30"/>
      <c r="V491" s="30"/>
      <c r="W491" s="30"/>
      <c r="X491" s="30"/>
      <c r="Y491" s="30"/>
      <c r="Z491" s="30"/>
    </row>
    <row r="492" ht="28.5" customHeight="1">
      <c r="A492" s="25" t="s">
        <v>1408</v>
      </c>
      <c r="B492" s="26" t="str">
        <f>HYPERLINK("https://drive.google.com/file/d/1qXYN3cpvZQ8o-9tK1TK_qiwkFT_DjyfC/view?usp=sharing","ECONOMIA, HISTÓRIA E RELIGIÃO: REVELANDO UM VÉRTICE INSTITUCIONAL")</f>
        <v>ECONOMIA, HISTÓRIA E RELIGIÃO: REVELANDO UM VÉRTICE INSTITUCIONAL</v>
      </c>
      <c r="C492" s="27" t="s">
        <v>1173</v>
      </c>
      <c r="D492" s="27" t="s">
        <v>1409</v>
      </c>
      <c r="E492" s="27" t="s">
        <v>1410</v>
      </c>
      <c r="F492" s="27" t="s">
        <v>473</v>
      </c>
      <c r="G492" s="28">
        <v>41827.0</v>
      </c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30"/>
      <c r="T492" s="30"/>
      <c r="U492" s="30"/>
      <c r="V492" s="30"/>
      <c r="W492" s="30"/>
      <c r="X492" s="30"/>
      <c r="Y492" s="30"/>
      <c r="Z492" s="30"/>
    </row>
    <row r="493" ht="42.75" customHeight="1">
      <c r="A493" s="31" t="s">
        <v>1411</v>
      </c>
      <c r="B493" s="32" t="str">
        <f>HYPERLINK("https://drive.google.com/file/d/1hxwjcWHnatgnwt8boPusk2HG6YdNYgfC/view?usp=sharing","A COMPETITIVIDADE DA INDÚSTRIA AUTOMOBILÍSTICA BRASILEIRA NO MERCADO INTERNACIONAL DE 1994 A 2012")</f>
        <v>A COMPETITIVIDADE DA INDÚSTRIA AUTOMOBILÍSTICA BRASILEIRA NO MERCADO INTERNACIONAL DE 1994 A 2012</v>
      </c>
      <c r="C493" s="33" t="s">
        <v>252</v>
      </c>
      <c r="D493" s="33" t="s">
        <v>1412</v>
      </c>
      <c r="E493" s="33" t="s">
        <v>1413</v>
      </c>
      <c r="F493" s="33" t="s">
        <v>947</v>
      </c>
      <c r="G493" s="34">
        <v>41808.0</v>
      </c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30"/>
      <c r="T493" s="30"/>
      <c r="U493" s="30"/>
      <c r="V493" s="30"/>
      <c r="W493" s="30"/>
      <c r="X493" s="30"/>
      <c r="Y493" s="30"/>
      <c r="Z493" s="30"/>
    </row>
    <row r="494" ht="38.25" customHeight="1">
      <c r="A494" s="25" t="s">
        <v>1414</v>
      </c>
      <c r="B494" s="26" t="str">
        <f>HYPERLINK("https://drive.google.com/file/d/1RAZ7fJCJcRgABOZuSv5R-hUvhF5V6rrB/view?usp=sharing","O DESEMPENHO DAS EXPORTAÇÕES BAIANAS FRENTE À CRISE EUROPEIA, NO PERÍODO DE 2009 A 2013")</f>
        <v>O DESEMPENHO DAS EXPORTAÇÕES BAIANAS FRENTE À CRISE EUROPEIA, NO PERÍODO DE 2009 A 2013</v>
      </c>
      <c r="C494" s="27" t="s">
        <v>252</v>
      </c>
      <c r="D494" s="27" t="s">
        <v>1415</v>
      </c>
      <c r="E494" s="27" t="s">
        <v>1416</v>
      </c>
      <c r="F494" s="27" t="s">
        <v>356</v>
      </c>
      <c r="G494" s="28">
        <v>41827.0</v>
      </c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30"/>
      <c r="T494" s="30"/>
      <c r="U494" s="30"/>
      <c r="V494" s="30"/>
      <c r="W494" s="30"/>
      <c r="X494" s="30"/>
      <c r="Y494" s="30"/>
      <c r="Z494" s="30"/>
    </row>
    <row r="495" ht="51.0" customHeight="1">
      <c r="A495" s="31" t="s">
        <v>1417</v>
      </c>
      <c r="B495" s="32" t="str">
        <f>HYPERLINK("https://drive.google.com/file/d/1Uiug3dioIaW0QXsznw59bJkHPokkPhgR/view?usp=sharing","REFLEXÕES SOBRE A HISTÓRIA ECONÔMICA DO BRASIL NO PERÍODO DE 1930-1980: GOVERNOS DE GETÚLIO VARGAS E JUSCELINO KUBITSCHEK")</f>
        <v>REFLEXÕES SOBRE A HISTÓRIA ECONÔMICA DO BRASIL NO PERÍODO DE 1930-1980: GOVERNOS DE GETÚLIO VARGAS E JUSCELINO KUBITSCHEK</v>
      </c>
      <c r="C495" s="33" t="s">
        <v>1173</v>
      </c>
      <c r="D495" s="33" t="s">
        <v>1418</v>
      </c>
      <c r="E495" s="33" t="s">
        <v>1419</v>
      </c>
      <c r="F495" s="33" t="s">
        <v>473</v>
      </c>
      <c r="G495" s="34">
        <v>41827.0</v>
      </c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30"/>
      <c r="T495" s="30"/>
      <c r="U495" s="30"/>
      <c r="V495" s="30"/>
      <c r="W495" s="30"/>
      <c r="X495" s="30"/>
      <c r="Y495" s="30"/>
      <c r="Z495" s="30"/>
    </row>
    <row r="496" ht="42.75" customHeight="1">
      <c r="A496" s="25" t="s">
        <v>1420</v>
      </c>
      <c r="B496" s="26" t="str">
        <f>HYPERLINK("https://drive.google.com/file/d/1OC-wyCmqN53Izn0uT59UtHAkFUs5B1cn/view?usp=sharing","AS QUESTÕES AMBIENTAIS NO NORDESTE BRASILEIRO: ALGUMAS REFLEXÕES ECONÔMICAS")</f>
        <v>AS QUESTÕES AMBIENTAIS NO NORDESTE BRASILEIRO: ALGUMAS REFLEXÕES ECONÔMICAS</v>
      </c>
      <c r="C496" s="27" t="s">
        <v>43</v>
      </c>
      <c r="D496" s="27" t="s">
        <v>1421</v>
      </c>
      <c r="E496" s="27" t="s">
        <v>1422</v>
      </c>
      <c r="F496" s="27" t="s">
        <v>64</v>
      </c>
      <c r="G496" s="28">
        <v>41624.0</v>
      </c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30"/>
      <c r="T496" s="30"/>
      <c r="U496" s="30"/>
      <c r="V496" s="30"/>
      <c r="W496" s="30"/>
      <c r="X496" s="30"/>
      <c r="Y496" s="30"/>
      <c r="Z496" s="30"/>
    </row>
    <row r="497" ht="28.5" customHeight="1">
      <c r="A497" s="31" t="s">
        <v>1423</v>
      </c>
      <c r="B497" s="32" t="str">
        <f>HYPERLINK("https://drive.google.com/file/d/1gLBTFm6AY7CmndJNlFcsxVRbAetFvuIk/view?usp=sharing","EFEITOS ECONÔMICOS DA MINERADORA MIRABELA NOS MUNICÍPIOS DE IPIAÚ E ITAGIBÁ")</f>
        <v>EFEITOS ECONÔMICOS DA MINERADORA MIRABELA NOS MUNICÍPIOS DE IPIAÚ E ITAGIBÁ</v>
      </c>
      <c r="C497" s="33" t="s">
        <v>61</v>
      </c>
      <c r="D497" s="33" t="s">
        <v>1424</v>
      </c>
      <c r="E497" s="33" t="s">
        <v>1425</v>
      </c>
      <c r="F497" s="33" t="s">
        <v>205</v>
      </c>
      <c r="G497" s="34">
        <v>41982.0</v>
      </c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30"/>
      <c r="T497" s="30"/>
      <c r="U497" s="30"/>
      <c r="V497" s="30"/>
      <c r="W497" s="30"/>
      <c r="X497" s="30"/>
      <c r="Y497" s="30"/>
      <c r="Z497" s="30"/>
    </row>
    <row r="498" ht="28.5" customHeight="1">
      <c r="A498" s="25" t="s">
        <v>1426</v>
      </c>
      <c r="B498" s="26" t="str">
        <f>HYPERLINK("https://drive.google.com/file/d/1cb-72JTQDtj4aA2NxLRFjGLiRU664JGK/view?usp=sharing","O COMPORTAMENTO DO CRÉDITO BANCÁRIO NO BRASIL ENTRE 2003 E 2013")</f>
        <v>O COMPORTAMENTO DO CRÉDITO BANCÁRIO NO BRASIL ENTRE 2003 E 2013</v>
      </c>
      <c r="C498" s="27" t="s">
        <v>13</v>
      </c>
      <c r="D498" s="27" t="s">
        <v>1427</v>
      </c>
      <c r="E498" s="27" t="s">
        <v>1428</v>
      </c>
      <c r="F498" s="27" t="s">
        <v>1044</v>
      </c>
      <c r="G498" s="28">
        <v>41975.0</v>
      </c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30"/>
      <c r="T498" s="30"/>
      <c r="U498" s="30"/>
      <c r="V498" s="30"/>
      <c r="W498" s="30"/>
      <c r="X498" s="30"/>
      <c r="Y498" s="30"/>
      <c r="Z498" s="30"/>
    </row>
    <row r="499" ht="38.25" customHeight="1">
      <c r="A499" s="31" t="s">
        <v>1429</v>
      </c>
      <c r="B499" s="32" t="str">
        <f>HYPERLINK("https://drive.google.com/file/d/1_tW60YX_fZtOwf3Dgp9w_dWflFKiVjMq/view?usp=sharing","A RESPEITO DO PRINCÍPIO DE QUE INTERESSES EGOÍSTAS GERAM BENEFÍCIOS SOCIAIS: UMA ANÁLISE CONTEMPORÂNEA.")</f>
        <v>A RESPEITO DO PRINCÍPIO DE QUE INTERESSES EGOÍSTAS GERAM BENEFÍCIOS SOCIAIS: UMA ANÁLISE CONTEMPORÂNEA.</v>
      </c>
      <c r="C499" s="33" t="s">
        <v>814</v>
      </c>
      <c r="D499" s="33" t="s">
        <v>1430</v>
      </c>
      <c r="E499" s="33" t="s">
        <v>1431</v>
      </c>
      <c r="F499" s="33" t="s">
        <v>1011</v>
      </c>
      <c r="G499" s="34">
        <v>41984.0</v>
      </c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30"/>
      <c r="T499" s="30"/>
      <c r="U499" s="30"/>
      <c r="V499" s="30"/>
      <c r="W499" s="30"/>
      <c r="X499" s="30"/>
      <c r="Y499" s="30"/>
      <c r="Z499" s="30"/>
    </row>
    <row r="500" ht="51.0" customHeight="1">
      <c r="A500" s="25" t="s">
        <v>1432</v>
      </c>
      <c r="B500" s="26" t="str">
        <f>HYPERLINK("https://drive.google.com/file/d/1nlOJXMASGGp2jkD9YTF1J932a5AdG5by/view?usp=sharing","UMA DESCRIÇÃO DA INSERÇÃO BRASILEIRA NO COMÉRCIO INTERNACIONAL ATRAVÉS DA EVOLUÇÃO DA BALANÇA COMERCIAL ENTRE 1808 E 2010")</f>
        <v>UMA DESCRIÇÃO DA INSERÇÃO BRASILEIRA NO COMÉRCIO INTERNACIONAL ATRAVÉS DA EVOLUÇÃO DA BALANÇA COMERCIAL ENTRE 1808 E 2010</v>
      </c>
      <c r="C500" s="27" t="s">
        <v>234</v>
      </c>
      <c r="D500" s="27" t="s">
        <v>1433</v>
      </c>
      <c r="E500" s="27" t="s">
        <v>1434</v>
      </c>
      <c r="F500" s="27" t="s">
        <v>1287</v>
      </c>
      <c r="G500" s="28">
        <v>41984.0</v>
      </c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30"/>
      <c r="T500" s="30"/>
      <c r="U500" s="30"/>
      <c r="V500" s="30"/>
      <c r="W500" s="30"/>
      <c r="X500" s="30"/>
      <c r="Y500" s="30"/>
      <c r="Z500" s="30"/>
    </row>
    <row r="501" ht="63.75" customHeight="1">
      <c r="A501" s="31" t="s">
        <v>1435</v>
      </c>
      <c r="B501" s="32" t="str">
        <f>HYPERLINK("https://drive.google.com/file/d/1xKceeSVRvi5UT1CF0VzmchsFkhxHWYl8/view?usp=sharing","SETOR VAREJISTA DE AUTOPEÇAS EM ITABUNA: PERCEPÇÃO DO EMPRESARIADO LOCAL QUANTO ÀS MEDIDAS DE INCENTIVO AO SETOR AUTOMOBILÍSTICO NO PÓS-CRISE 2008- 2013")</f>
        <v>SETOR VAREJISTA DE AUTOPEÇAS EM ITABUNA: PERCEPÇÃO DO EMPRESARIADO LOCAL QUANTO ÀS MEDIDAS DE INCENTIVO AO SETOR AUTOMOBILÍSTICO NO PÓS-CRISE 2008- 2013</v>
      </c>
      <c r="C501" s="33" t="s">
        <v>195</v>
      </c>
      <c r="D501" s="33" t="s">
        <v>1436</v>
      </c>
      <c r="E501" s="33" t="s">
        <v>1437</v>
      </c>
      <c r="F501" s="33" t="s">
        <v>356</v>
      </c>
      <c r="G501" s="34">
        <v>41982.0</v>
      </c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30"/>
      <c r="T501" s="30"/>
      <c r="U501" s="30"/>
      <c r="V501" s="30"/>
      <c r="W501" s="30"/>
      <c r="X501" s="30"/>
      <c r="Y501" s="30"/>
      <c r="Z501" s="30"/>
    </row>
    <row r="502" ht="42.75" customHeight="1">
      <c r="A502" s="25" t="s">
        <v>1438</v>
      </c>
      <c r="B502" s="26" t="str">
        <f>HYPERLINK("https://drive.google.com/file/d/18wyvIcZDYovRGPkrb29wgDhrvAF5QSvO/view?usp=sharing","O PERFIL POLÍTICO ECONÔMICO DO GOVERNO DA PRESIDENTA DILMA ROUSSEFF")</f>
        <v>O PERFIL POLÍTICO ECONÔMICO DO GOVERNO DA PRESIDENTA DILMA ROUSSEFF</v>
      </c>
      <c r="C502" s="27" t="s">
        <v>814</v>
      </c>
      <c r="D502" s="27" t="s">
        <v>1439</v>
      </c>
      <c r="E502" s="27" t="s">
        <v>1440</v>
      </c>
      <c r="F502" s="27" t="s">
        <v>26</v>
      </c>
      <c r="G502" s="28">
        <v>41982.0</v>
      </c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30"/>
      <c r="T502" s="30"/>
      <c r="U502" s="30"/>
      <c r="V502" s="30"/>
      <c r="W502" s="30"/>
      <c r="X502" s="30"/>
      <c r="Y502" s="30"/>
      <c r="Z502" s="30"/>
    </row>
    <row r="503" ht="42.75" customHeight="1">
      <c r="A503" s="31" t="s">
        <v>1441</v>
      </c>
      <c r="B503" s="32" t="str">
        <f>HYPERLINK("https://drive.google.com/file/d/1TrS8J5gsBhd9jeNcdZtScFwsXQpJCZie/view?usp=sharing","O CAPITAL HUMANO NA CONTEMPORANEIDADE: UMA ANÁLISE SOBRE OS INVESTIMENTOS EM EDUCAÇÃO NUMA PERSPECTIVA MARXISTA")</f>
        <v>O CAPITAL HUMANO NA CONTEMPORANEIDADE: UMA ANÁLISE SOBRE OS INVESTIMENTOS EM EDUCAÇÃO NUMA PERSPECTIVA MARXISTA</v>
      </c>
      <c r="C503" s="33" t="s">
        <v>814</v>
      </c>
      <c r="D503" s="33" t="s">
        <v>1442</v>
      </c>
      <c r="E503" s="33" t="s">
        <v>1443</v>
      </c>
      <c r="F503" s="33" t="s">
        <v>1011</v>
      </c>
      <c r="G503" s="34">
        <v>41983.0</v>
      </c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30"/>
      <c r="T503" s="30"/>
      <c r="U503" s="30"/>
      <c r="V503" s="30"/>
      <c r="W503" s="30"/>
      <c r="X503" s="30"/>
      <c r="Y503" s="30"/>
      <c r="Z503" s="30"/>
    </row>
    <row r="504" ht="51.0" customHeight="1">
      <c r="A504" s="25" t="s">
        <v>1444</v>
      </c>
      <c r="B504" s="26" t="str">
        <f>HYPERLINK("https://drive.google.com/file/d/1dKbojCptJe3bm_p5eSIHq3eRjcxf47VM/view?usp=sharing","OBSERVAÇÕES SOBRE O DESEMPENHO DOS INDICADORES ECONÔMICOS BRASILEIROS EM RELAÇÃO À POLÍTICA ECONÔMICA PRATICADA ENTRE 1995 E 2014")</f>
        <v>OBSERVAÇÕES SOBRE O DESEMPENHO DOS INDICADORES ECONÔMICOS BRASILEIROS EM RELAÇÃO À POLÍTICA ECONÔMICA PRATICADA ENTRE 1995 E 2014</v>
      </c>
      <c r="C504" s="27" t="s">
        <v>167</v>
      </c>
      <c r="D504" s="27" t="s">
        <v>1445</v>
      </c>
      <c r="E504" s="27" t="s">
        <v>1446</v>
      </c>
      <c r="F504" s="27" t="s">
        <v>1287</v>
      </c>
      <c r="G504" s="28">
        <v>41978.0</v>
      </c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30"/>
      <c r="T504" s="30"/>
      <c r="U504" s="30"/>
      <c r="V504" s="30"/>
      <c r="W504" s="30"/>
      <c r="X504" s="30"/>
      <c r="Y504" s="30"/>
      <c r="Z504" s="30"/>
    </row>
    <row r="505" ht="51.0" customHeight="1">
      <c r="A505" s="31" t="s">
        <v>1447</v>
      </c>
      <c r="B505" s="32" t="str">
        <f>HYPERLINK("https://drive.google.com/file/d/1Mjq2cr_f9VX-LsysGCOS2zOTEULGjsIO/view?usp=sharing","O ESTADO DE BEM ESTAR SOCIAL NO BRASIL: UMA ANÁLISE A PARTIR DAS POLÍTICAS PÚBLICAS DE EDUCAÇÃO, HABITAÇÃO E ALIMENTAÇÃO")</f>
        <v>O ESTADO DE BEM ESTAR SOCIAL NO BRASIL: UMA ANÁLISE A PARTIR DAS POLÍTICAS PÚBLICAS DE EDUCAÇÃO, HABITAÇÃO E ALIMENTAÇÃO</v>
      </c>
      <c r="C505" s="33" t="s">
        <v>137</v>
      </c>
      <c r="D505" s="33" t="s">
        <v>1448</v>
      </c>
      <c r="E505" s="33" t="s">
        <v>1449</v>
      </c>
      <c r="F505" s="33" t="s">
        <v>162</v>
      </c>
      <c r="G505" s="34">
        <v>41976.0</v>
      </c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30"/>
      <c r="T505" s="30"/>
      <c r="U505" s="30"/>
      <c r="V505" s="30"/>
      <c r="W505" s="30"/>
      <c r="X505" s="30"/>
      <c r="Y505" s="30"/>
      <c r="Z505" s="30"/>
    </row>
    <row r="506" ht="38.25" customHeight="1">
      <c r="A506" s="25" t="s">
        <v>1450</v>
      </c>
      <c r="B506" s="26" t="str">
        <f>HYPERLINK("https://drive.google.com/file/d/1zCzbrNF0xSiFFg3Dew7UpYBkfqWseugn/view?usp=sharing","POLÍTICAS PÚBLICAS APLICADAS NA LAVOURA CACAUEIRA BAIANA APÓS A INCIDÊNCIA DA DOENÇA VASSOURA-DE-BRUXA")</f>
        <v>POLÍTICAS PÚBLICAS APLICADAS NA LAVOURA CACAUEIRA BAIANA APÓS A INCIDÊNCIA DA DOENÇA VASSOURA-DE-BRUXA</v>
      </c>
      <c r="C506" s="27" t="s">
        <v>1451</v>
      </c>
      <c r="D506" s="27" t="s">
        <v>1452</v>
      </c>
      <c r="E506" s="27" t="s">
        <v>1453</v>
      </c>
      <c r="F506" s="27" t="s">
        <v>88</v>
      </c>
      <c r="G506" s="28">
        <v>41982.0</v>
      </c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30"/>
      <c r="T506" s="30"/>
      <c r="U506" s="30"/>
      <c r="V506" s="30"/>
      <c r="W506" s="30"/>
      <c r="X506" s="30"/>
      <c r="Y506" s="30"/>
      <c r="Z506" s="30"/>
    </row>
    <row r="507" ht="28.5" customHeight="1">
      <c r="A507" s="31" t="s">
        <v>1454</v>
      </c>
      <c r="B507" s="32" t="str">
        <f>HYPERLINK("https://drive.google.com/file/d/14CvwISbgybfw7geW3fBvCq_22KTOUGD_/view?usp=sharing","O CAPITALISMO E SUA INFLUÊNCIA NAS DECISÕES DAS FAMÍLIAS")</f>
        <v>O CAPITALISMO E SUA INFLUÊNCIA NAS DECISÕES DAS FAMÍLIAS</v>
      </c>
      <c r="C507" s="33" t="s">
        <v>814</v>
      </c>
      <c r="D507" s="33" t="s">
        <v>1455</v>
      </c>
      <c r="E507" s="33" t="s">
        <v>1456</v>
      </c>
      <c r="F507" s="33" t="s">
        <v>473</v>
      </c>
      <c r="G507" s="34">
        <v>41984.0</v>
      </c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30"/>
      <c r="T507" s="30"/>
      <c r="U507" s="30"/>
      <c r="V507" s="30"/>
      <c r="W507" s="30"/>
      <c r="X507" s="30"/>
      <c r="Y507" s="30"/>
      <c r="Z507" s="30"/>
    </row>
    <row r="508" ht="63.75" customHeight="1">
      <c r="A508" s="25" t="s">
        <v>1457</v>
      </c>
      <c r="B508" s="26" t="str">
        <f>HYPERLINK("https://drive.google.com/file/d/1Zl_Sofi3qa4aer_MD9Qj-bZu9jmQdQSh/view?usp=sharing","VOLATILIDADE DOS RETORNOS DAS AÇÕES DA BRASKEM NO PERÍODO DE 2005 A 2014: UMA ANÁLISE A PARTIR DO MODELO AUTO REGRESSIVO COM HETEROCEDASTICIDADE CONDICIONAL (ARCH)")</f>
        <v>VOLATILIDADE DOS RETORNOS DAS AÇÕES DA BRASKEM NO PERÍODO DE 2005 A 2014: UMA ANÁLISE A PARTIR DO MODELO AUTO REGRESSIVO COM HETEROCEDASTICIDADE CONDICIONAL (ARCH)</v>
      </c>
      <c r="C508" s="27" t="s">
        <v>767</v>
      </c>
      <c r="D508" s="27" t="s">
        <v>1458</v>
      </c>
      <c r="E508" s="27" t="s">
        <v>1459</v>
      </c>
      <c r="F508" s="27" t="s">
        <v>1044</v>
      </c>
      <c r="G508" s="28">
        <v>41975.0</v>
      </c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30"/>
      <c r="T508" s="30"/>
      <c r="U508" s="30"/>
      <c r="V508" s="30"/>
      <c r="W508" s="30"/>
      <c r="X508" s="30"/>
      <c r="Y508" s="30"/>
      <c r="Z508" s="30"/>
    </row>
    <row r="509" ht="28.5" customHeight="1">
      <c r="A509" s="62" t="s">
        <v>1460</v>
      </c>
      <c r="B509" s="32" t="str">
        <f>HYPERLINK("https://drive.google.com/file/d/1eTQo2AhZsKayruhaMPH4r0-8z-nq8oFG/view?usp=sharing","CAPITALISMO E MUDANÇA SOCIAL: REFLEXÕES SOBRE A ECONOMIA BRASILEIRA")</f>
        <v>CAPITALISMO E MUDANÇA SOCIAL: REFLEXÕES SOBRE A ECONOMIA BRASILEIRA</v>
      </c>
      <c r="C509" s="33" t="s">
        <v>52</v>
      </c>
      <c r="D509" s="33" t="s">
        <v>1461</v>
      </c>
      <c r="E509" s="33" t="s">
        <v>1462</v>
      </c>
      <c r="F509" s="33" t="s">
        <v>473</v>
      </c>
      <c r="G509" s="34">
        <v>41983.0</v>
      </c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63.75" customHeight="1">
      <c r="A510" s="25" t="s">
        <v>1463</v>
      </c>
      <c r="B510" s="26" t="str">
        <f>HYPERLINK("https://drive.google.com/file/d/1FYx1BSwLAXUz9vvYCZVLwIrQbo6KRpvY/view?usp=sharing","OS EFEITOS DOS ROYALTIES DA MINERAÇÃO SOBRE A PROMOÇÃO DO DESENVOLVIMENTO SOCIOECONÔMICO DOS MUNICÍPIOS BAIANOS: UMA ABORDAGEM POR ANÁLISE ENVOLTÓRIA DE DADOS – DEA")</f>
        <v>OS EFEITOS DOS ROYALTIES DA MINERAÇÃO SOBRE A PROMOÇÃO DO DESENVOLVIMENTO SOCIOECONÔMICO DOS MUNICÍPIOS BAIANOS: UMA ABORDAGEM POR ANÁLISE ENVOLTÓRIA DE DADOS – DEA</v>
      </c>
      <c r="C510" s="27" t="s">
        <v>195</v>
      </c>
      <c r="D510" s="27" t="s">
        <v>1464</v>
      </c>
      <c r="E510" s="27" t="s">
        <v>1465</v>
      </c>
      <c r="F510" s="27" t="s">
        <v>1466</v>
      </c>
      <c r="G510" s="28">
        <v>41975.0</v>
      </c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30"/>
      <c r="T510" s="30"/>
      <c r="U510" s="30"/>
      <c r="V510" s="30"/>
      <c r="W510" s="30"/>
      <c r="X510" s="30"/>
      <c r="Y510" s="30"/>
      <c r="Z510" s="30"/>
    </row>
    <row r="511" ht="51.0" customHeight="1">
      <c r="A511" s="31" t="s">
        <v>1467</v>
      </c>
      <c r="B511" s="32" t="str">
        <f>HYPERLINK("https://drive.google.com/file/d/1XYduGDGGBqLTmAk8JgE38Q-mGz8e1AIQ/view?usp=sharing","O ASSOCIATIVISMO NO MUNICÍPIO DE COARACI – BAHIA: UM RECORTE DA ASSOCIAÇÃO DE PEQUENOS PRODUTORES RURAIS CORCOVADO/SÃO DOMINGOS")</f>
        <v>O ASSOCIATIVISMO NO MUNICÍPIO DE COARACI – BAHIA: UM RECORTE DA ASSOCIAÇÃO DE PEQUENOS PRODUTORES RURAIS CORCOVADO/SÃO DOMINGOS</v>
      </c>
      <c r="C511" s="33" t="s">
        <v>1468</v>
      </c>
      <c r="D511" s="33" t="s">
        <v>1469</v>
      </c>
      <c r="E511" s="33" t="s">
        <v>1470</v>
      </c>
      <c r="F511" s="33" t="s">
        <v>31</v>
      </c>
      <c r="G511" s="34">
        <v>41984.0</v>
      </c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30"/>
      <c r="T511" s="30"/>
      <c r="U511" s="30"/>
      <c r="V511" s="30"/>
      <c r="W511" s="30"/>
      <c r="X511" s="30"/>
      <c r="Y511" s="30"/>
      <c r="Z511" s="30"/>
    </row>
    <row r="512" ht="28.5" customHeight="1">
      <c r="A512" s="25" t="s">
        <v>1471</v>
      </c>
      <c r="B512" s="26" t="str">
        <f>HYPERLINK("https://drive.google.com/file/d/1wkFY3zP0ZU_U62Ri_8oPDEPi031mvgnk/view?usp=sharing","O BIODIESEL NO BRASIL: SUA RELAÇÃO COM A PRODUÇÃO DO DENDÊ NA BAHIA")</f>
        <v>O BIODIESEL NO BRASIL: SUA RELAÇÃO COM A PRODUÇÃO DO DENDÊ NA BAHIA</v>
      </c>
      <c r="C512" s="27" t="s">
        <v>47</v>
      </c>
      <c r="D512" s="27" t="s">
        <v>1472</v>
      </c>
      <c r="E512" s="27" t="s">
        <v>1473</v>
      </c>
      <c r="F512" s="27" t="s">
        <v>16</v>
      </c>
      <c r="G512" s="28">
        <v>41984.0</v>
      </c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30"/>
      <c r="T512" s="30"/>
      <c r="U512" s="30"/>
      <c r="V512" s="30"/>
      <c r="W512" s="30"/>
      <c r="X512" s="30"/>
      <c r="Y512" s="30"/>
      <c r="Z512" s="30"/>
    </row>
    <row r="513" ht="38.25" customHeight="1">
      <c r="A513" s="31" t="s">
        <v>1474</v>
      </c>
      <c r="B513" s="32" t="str">
        <f>HYPERLINK("https://drive.google.com/file/d/1ElMAFpYXS5udm8WT5yLQ-ZrOq1h2ntKm/view?usp=sharing","GESTÃO PÚBLICA AMBIENTAL: uma caracterização dos casos dos municípios de Ilhéus e Itabuna")</f>
        <v>GESTÃO PÚBLICA AMBIENTAL: uma caracterização dos casos dos municípios de Ilhéus e Itabuna</v>
      </c>
      <c r="C513" s="33" t="s">
        <v>43</v>
      </c>
      <c r="D513" s="33" t="s">
        <v>1475</v>
      </c>
      <c r="E513" s="33" t="s">
        <v>1476</v>
      </c>
      <c r="F513" s="33" t="s">
        <v>963</v>
      </c>
      <c r="G513" s="34">
        <v>41984.0</v>
      </c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30"/>
      <c r="T513" s="30"/>
      <c r="U513" s="30"/>
      <c r="V513" s="30"/>
      <c r="W513" s="30"/>
      <c r="X513" s="30"/>
      <c r="Y513" s="30"/>
      <c r="Z513" s="30"/>
    </row>
    <row r="514" ht="38.25" customHeight="1">
      <c r="A514" s="25" t="s">
        <v>1477</v>
      </c>
      <c r="B514" s="26" t="str">
        <f>HYPERLINK("https://drive.google.com/file/d/1lutCQ_WTGCgga6KNmvanON0BxfBe40lc/view?usp=sharing","O COMPORTAMENTO DO CONSUMIDOR DE BOTIJÃO DE GÁS NO BAIRRO CONQUISTA, MUNICÍPIO DE ILHÉUS, BAHIA")</f>
        <v>O COMPORTAMENTO DO CONSUMIDOR DE BOTIJÃO DE GÁS NO BAIRRO CONQUISTA, MUNICÍPIO DE ILHÉUS, BAHIA</v>
      </c>
      <c r="C514" s="27" t="s">
        <v>116</v>
      </c>
      <c r="D514" s="27" t="s">
        <v>1478</v>
      </c>
      <c r="E514" s="27" t="s">
        <v>1479</v>
      </c>
      <c r="F514" s="27" t="s">
        <v>205</v>
      </c>
      <c r="G514" s="28">
        <v>41982.0</v>
      </c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30"/>
      <c r="T514" s="30"/>
      <c r="U514" s="30"/>
      <c r="V514" s="30"/>
      <c r="W514" s="30"/>
      <c r="X514" s="30"/>
      <c r="Y514" s="30"/>
      <c r="Z514" s="30"/>
    </row>
    <row r="515" ht="51.75" customHeight="1">
      <c r="A515" s="31" t="s">
        <v>1480</v>
      </c>
      <c r="B515" s="32" t="str">
        <f>HYPERLINK("https://drive.google.com/file/d/1VDRFhfnoy6UqVJRSv6mvhIxJF4NxinP6/view?usp=sharing","INDICADORES DE DESEMPENHO DO COMÉRCIO INTERNACIONAL BAIANO: UMA ANÁLISE PARA SOJA, ALGODÃO E CACAU, ENTRE OS ANOS 2002 E 2012")</f>
        <v>INDICADORES DE DESEMPENHO DO COMÉRCIO INTERNACIONAL BAIANO: UMA ANÁLISE PARA SOJA, ALGODÃO E CACAU, ENTRE OS ANOS 2002 E 2012</v>
      </c>
      <c r="C515" s="33" t="s">
        <v>252</v>
      </c>
      <c r="D515" s="33" t="s">
        <v>1481</v>
      </c>
      <c r="E515" s="33" t="s">
        <v>1482</v>
      </c>
      <c r="F515" s="33" t="s">
        <v>1124</v>
      </c>
      <c r="G515" s="34">
        <v>41976.0</v>
      </c>
      <c r="H515" s="42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51.0" customHeight="1">
      <c r="A516" s="25" t="s">
        <v>1483</v>
      </c>
      <c r="B516" s="61" t="str">
        <f>HYPERLINK("https://drive.google.com/file/d/1xOCTg4CIbitCoFKIzztMPqlpyStQTRjf/view?usp=sharing","QUANTO REPRESENTA O DIPLOMA UNIVERSITÁRIO PARA OS ALUNOS DA UESC? – UMA ESTIMATIVA APÓS A IMPLANTAÇÃO DAS AÇÕES AFIRMATIVAS")</f>
        <v>QUANTO REPRESENTA O DIPLOMA UNIVERSITÁRIO PARA OS ALUNOS DA UESC? – UMA ESTIMATIVA APÓS A IMPLANTAÇÃO DAS AÇÕES AFIRMATIVAS</v>
      </c>
      <c r="C516" s="27" t="s">
        <v>137</v>
      </c>
      <c r="D516" s="27" t="s">
        <v>1484</v>
      </c>
      <c r="E516" s="27" t="s">
        <v>1485</v>
      </c>
      <c r="F516" s="27" t="s">
        <v>861</v>
      </c>
      <c r="G516" s="28">
        <v>42276.0</v>
      </c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30"/>
      <c r="T516" s="30"/>
      <c r="U516" s="30"/>
      <c r="V516" s="30"/>
      <c r="W516" s="30"/>
      <c r="X516" s="30"/>
      <c r="Y516" s="30"/>
      <c r="Z516" s="30"/>
    </row>
    <row r="517" ht="28.5" customHeight="1">
      <c r="A517" s="31" t="s">
        <v>1486</v>
      </c>
      <c r="B517" s="63" t="s">
        <v>1487</v>
      </c>
      <c r="C517" s="33" t="s">
        <v>167</v>
      </c>
      <c r="D517" s="33" t="s">
        <v>1488</v>
      </c>
      <c r="E517" s="33" t="s">
        <v>1489</v>
      </c>
      <c r="F517" s="33" t="s">
        <v>180</v>
      </c>
      <c r="G517" s="34">
        <v>42272.0</v>
      </c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30"/>
      <c r="T517" s="30"/>
      <c r="U517" s="30"/>
      <c r="V517" s="30"/>
      <c r="W517" s="30"/>
      <c r="X517" s="30"/>
      <c r="Y517" s="30"/>
      <c r="Z517" s="30"/>
    </row>
    <row r="518" ht="42.75" customHeight="1">
      <c r="A518" s="25" t="s">
        <v>1490</v>
      </c>
      <c r="B518" s="61" t="s">
        <v>1491</v>
      </c>
      <c r="C518" s="27" t="s">
        <v>767</v>
      </c>
      <c r="D518" s="27" t="s">
        <v>1492</v>
      </c>
      <c r="E518" s="27" t="s">
        <v>1493</v>
      </c>
      <c r="F518" s="27" t="s">
        <v>1044</v>
      </c>
      <c r="G518" s="28">
        <v>42276.0</v>
      </c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30"/>
      <c r="T518" s="30"/>
      <c r="U518" s="30"/>
      <c r="V518" s="30"/>
      <c r="W518" s="30"/>
      <c r="X518" s="30"/>
      <c r="Y518" s="30"/>
      <c r="Z518" s="30"/>
    </row>
    <row r="519" ht="28.5" customHeight="1">
      <c r="A519" s="31" t="s">
        <v>1494</v>
      </c>
      <c r="B519" s="63" t="s">
        <v>1495</v>
      </c>
      <c r="C519" s="33" t="s">
        <v>111</v>
      </c>
      <c r="D519" s="33" t="s">
        <v>1496</v>
      </c>
      <c r="E519" s="33" t="s">
        <v>1497</v>
      </c>
      <c r="F519" s="40" t="s">
        <v>205</v>
      </c>
      <c r="G519" s="34">
        <v>42275.0</v>
      </c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30"/>
      <c r="T519" s="30"/>
      <c r="U519" s="30"/>
      <c r="V519" s="30"/>
      <c r="W519" s="30"/>
      <c r="X519" s="30"/>
      <c r="Y519" s="30"/>
      <c r="Z519" s="30"/>
    </row>
    <row r="520" ht="42.75" customHeight="1">
      <c r="A520" s="25" t="s">
        <v>1498</v>
      </c>
      <c r="B520" s="64" t="s">
        <v>1499</v>
      </c>
      <c r="C520" s="27" t="s">
        <v>137</v>
      </c>
      <c r="D520" s="27" t="s">
        <v>1500</v>
      </c>
      <c r="E520" s="27" t="s">
        <v>1501</v>
      </c>
      <c r="F520" s="27" t="s">
        <v>1287</v>
      </c>
      <c r="G520" s="28">
        <v>42276.0</v>
      </c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30"/>
      <c r="T520" s="30"/>
      <c r="U520" s="30"/>
      <c r="V520" s="30"/>
      <c r="W520" s="30"/>
      <c r="X520" s="30"/>
      <c r="Y520" s="30"/>
      <c r="Z520" s="30"/>
    </row>
    <row r="521" ht="38.25" customHeight="1">
      <c r="A521" s="31" t="s">
        <v>1502</v>
      </c>
      <c r="B521" s="63" t="s">
        <v>1503</v>
      </c>
      <c r="C521" s="33" t="s">
        <v>311</v>
      </c>
      <c r="D521" s="33" t="s">
        <v>1504</v>
      </c>
      <c r="E521" s="33" t="s">
        <v>1505</v>
      </c>
      <c r="F521" s="33" t="s">
        <v>180</v>
      </c>
      <c r="G521" s="34">
        <v>42275.0</v>
      </c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30"/>
      <c r="T521" s="30"/>
      <c r="U521" s="30"/>
      <c r="V521" s="30"/>
      <c r="W521" s="30"/>
      <c r="X521" s="30"/>
      <c r="Y521" s="30"/>
      <c r="Z521" s="30"/>
    </row>
    <row r="522" ht="28.5" customHeight="1">
      <c r="A522" s="25" t="s">
        <v>1506</v>
      </c>
      <c r="B522" s="64" t="s">
        <v>1507</v>
      </c>
      <c r="C522" s="27" t="s">
        <v>61</v>
      </c>
      <c r="D522" s="27" t="s">
        <v>1508</v>
      </c>
      <c r="E522" s="27" t="s">
        <v>1509</v>
      </c>
      <c r="F522" s="27" t="s">
        <v>114</v>
      </c>
      <c r="G522" s="28">
        <v>42272.0</v>
      </c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30"/>
      <c r="T522" s="30"/>
      <c r="U522" s="30"/>
      <c r="V522" s="30"/>
      <c r="W522" s="30"/>
      <c r="X522" s="30"/>
      <c r="Y522" s="30"/>
      <c r="Z522" s="30"/>
    </row>
    <row r="523" ht="51.0" customHeight="1">
      <c r="A523" s="31" t="s">
        <v>1510</v>
      </c>
      <c r="B523" s="63" t="s">
        <v>1511</v>
      </c>
      <c r="C523" s="33" t="s">
        <v>195</v>
      </c>
      <c r="D523" s="33" t="s">
        <v>1512</v>
      </c>
      <c r="E523" s="33" t="s">
        <v>1513</v>
      </c>
      <c r="F523" s="33" t="s">
        <v>1287</v>
      </c>
      <c r="G523" s="34">
        <v>42276.0</v>
      </c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30"/>
      <c r="T523" s="30"/>
      <c r="U523" s="30"/>
      <c r="V523" s="30"/>
      <c r="W523" s="30"/>
      <c r="X523" s="30"/>
      <c r="Y523" s="30"/>
      <c r="Z523" s="30"/>
    </row>
    <row r="524" ht="51.0" customHeight="1">
      <c r="A524" s="25" t="s">
        <v>1514</v>
      </c>
      <c r="B524" s="64" t="s">
        <v>1515</v>
      </c>
      <c r="C524" s="27" t="s">
        <v>18</v>
      </c>
      <c r="D524" s="27" t="s">
        <v>1516</v>
      </c>
      <c r="E524" s="27" t="s">
        <v>1517</v>
      </c>
      <c r="F524" s="27" t="s">
        <v>963</v>
      </c>
      <c r="G524" s="28">
        <v>42272.0</v>
      </c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30"/>
      <c r="T524" s="30"/>
      <c r="U524" s="30"/>
      <c r="V524" s="30"/>
      <c r="W524" s="30"/>
      <c r="X524" s="30"/>
      <c r="Y524" s="30"/>
      <c r="Z524" s="30"/>
    </row>
    <row r="525" ht="28.5" customHeight="1">
      <c r="A525" s="31" t="s">
        <v>1518</v>
      </c>
      <c r="B525" s="63" t="s">
        <v>1519</v>
      </c>
      <c r="C525" s="33" t="s">
        <v>18</v>
      </c>
      <c r="D525" s="33" t="s">
        <v>1520</v>
      </c>
      <c r="E525" s="33" t="s">
        <v>1521</v>
      </c>
      <c r="F525" s="33" t="s">
        <v>963</v>
      </c>
      <c r="G525" s="34">
        <v>42268.0</v>
      </c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30"/>
      <c r="T525" s="30"/>
      <c r="U525" s="30"/>
      <c r="V525" s="30"/>
      <c r="W525" s="30"/>
      <c r="X525" s="30"/>
      <c r="Y525" s="30"/>
      <c r="Z525" s="30"/>
    </row>
    <row r="526" ht="38.25" customHeight="1">
      <c r="A526" s="65">
        <v>42309.0</v>
      </c>
      <c r="B526" s="61" t="s">
        <v>1522</v>
      </c>
      <c r="C526" s="27" t="s">
        <v>1022</v>
      </c>
      <c r="D526" s="27" t="s">
        <v>1523</v>
      </c>
      <c r="E526" s="27" t="s">
        <v>1524</v>
      </c>
      <c r="F526" s="27" t="s">
        <v>31</v>
      </c>
      <c r="G526" s="28">
        <v>42276.0</v>
      </c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30"/>
      <c r="T526" s="30"/>
      <c r="U526" s="30"/>
      <c r="V526" s="30"/>
      <c r="W526" s="30"/>
      <c r="X526" s="30"/>
      <c r="Y526" s="30"/>
      <c r="Z526" s="30"/>
    </row>
    <row r="527" ht="63.75" customHeight="1">
      <c r="A527" s="66">
        <v>42339.0</v>
      </c>
      <c r="B527" s="63" t="s">
        <v>1525</v>
      </c>
      <c r="C527" s="33" t="s">
        <v>234</v>
      </c>
      <c r="D527" s="33" t="s">
        <v>1526</v>
      </c>
      <c r="E527" s="33" t="s">
        <v>1527</v>
      </c>
      <c r="F527" s="33" t="s">
        <v>88</v>
      </c>
      <c r="G527" s="34">
        <v>42276.0</v>
      </c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30"/>
      <c r="T527" s="30"/>
      <c r="U527" s="30"/>
      <c r="V527" s="30"/>
      <c r="W527" s="30"/>
      <c r="X527" s="30"/>
      <c r="Y527" s="30"/>
      <c r="Z527" s="30"/>
    </row>
    <row r="528" ht="38.25" customHeight="1">
      <c r="A528" s="25" t="s">
        <v>1528</v>
      </c>
      <c r="B528" s="61" t="s">
        <v>1529</v>
      </c>
      <c r="C528" s="27" t="s">
        <v>1022</v>
      </c>
      <c r="D528" s="27" t="s">
        <v>1530</v>
      </c>
      <c r="E528" s="27" t="s">
        <v>1531</v>
      </c>
      <c r="F528" s="27" t="s">
        <v>232</v>
      </c>
      <c r="G528" s="28">
        <v>42275.0</v>
      </c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30"/>
      <c r="T528" s="30"/>
      <c r="U528" s="30"/>
      <c r="V528" s="30"/>
      <c r="W528" s="30"/>
      <c r="X528" s="30"/>
      <c r="Y528" s="30"/>
      <c r="Z528" s="30"/>
    </row>
    <row r="529" ht="51.0" customHeight="1">
      <c r="A529" s="31" t="s">
        <v>1532</v>
      </c>
      <c r="B529" s="63" t="s">
        <v>1533</v>
      </c>
      <c r="C529" s="33" t="s">
        <v>1468</v>
      </c>
      <c r="D529" s="33" t="s">
        <v>1534</v>
      </c>
      <c r="E529" s="33" t="s">
        <v>1535</v>
      </c>
      <c r="F529" s="33" t="s">
        <v>356</v>
      </c>
      <c r="G529" s="34">
        <v>42275.0</v>
      </c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30"/>
      <c r="T529" s="30"/>
      <c r="U529" s="30"/>
      <c r="V529" s="30"/>
      <c r="W529" s="30"/>
      <c r="X529" s="30"/>
      <c r="Y529" s="30"/>
      <c r="Z529" s="30"/>
    </row>
    <row r="530" ht="51.0" customHeight="1">
      <c r="A530" s="25" t="s">
        <v>1536</v>
      </c>
      <c r="B530" s="61" t="s">
        <v>1537</v>
      </c>
      <c r="C530" s="27" t="s">
        <v>70</v>
      </c>
      <c r="D530" s="27" t="s">
        <v>1538</v>
      </c>
      <c r="E530" s="27" t="s">
        <v>1539</v>
      </c>
      <c r="F530" s="27" t="s">
        <v>356</v>
      </c>
      <c r="G530" s="28">
        <v>42275.0</v>
      </c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30"/>
      <c r="T530" s="30"/>
      <c r="U530" s="30"/>
      <c r="V530" s="30"/>
      <c r="W530" s="30"/>
      <c r="X530" s="30"/>
      <c r="Y530" s="30"/>
      <c r="Z530" s="30"/>
    </row>
    <row r="531" ht="42.75" customHeight="1">
      <c r="A531" s="31" t="s">
        <v>1540</v>
      </c>
      <c r="B531" s="63" t="s">
        <v>1541</v>
      </c>
      <c r="C531" s="33" t="s">
        <v>111</v>
      </c>
      <c r="D531" s="33" t="s">
        <v>1542</v>
      </c>
      <c r="E531" s="33" t="s">
        <v>1543</v>
      </c>
      <c r="F531" s="33" t="s">
        <v>232</v>
      </c>
      <c r="G531" s="34">
        <v>42412.0</v>
      </c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30"/>
      <c r="T531" s="30"/>
      <c r="U531" s="30"/>
      <c r="V531" s="30"/>
      <c r="W531" s="30"/>
      <c r="X531" s="30"/>
      <c r="Y531" s="30"/>
      <c r="Z531" s="30"/>
    </row>
    <row r="532" ht="42.75" customHeight="1">
      <c r="A532" s="67" t="s">
        <v>1544</v>
      </c>
      <c r="B532" s="61" t="s">
        <v>1545</v>
      </c>
      <c r="C532" s="27" t="s">
        <v>159</v>
      </c>
      <c r="D532" s="27" t="s">
        <v>1546</v>
      </c>
      <c r="E532" s="27" t="s">
        <v>1547</v>
      </c>
      <c r="F532" s="27" t="s">
        <v>162</v>
      </c>
      <c r="G532" s="28">
        <v>42403.0</v>
      </c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30"/>
      <c r="T532" s="30"/>
      <c r="U532" s="30"/>
      <c r="V532" s="30"/>
      <c r="W532" s="30"/>
      <c r="X532" s="30"/>
      <c r="Y532" s="30"/>
      <c r="Z532" s="30"/>
    </row>
    <row r="533" ht="42.75" customHeight="1">
      <c r="A533" s="68" t="s">
        <v>1548</v>
      </c>
      <c r="B533" s="63" t="s">
        <v>1549</v>
      </c>
      <c r="C533" s="33" t="s">
        <v>159</v>
      </c>
      <c r="D533" s="33" t="s">
        <v>1550</v>
      </c>
      <c r="E533" s="33" t="s">
        <v>1551</v>
      </c>
      <c r="F533" s="33" t="s">
        <v>1011</v>
      </c>
      <c r="G533" s="34">
        <v>42411.0</v>
      </c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30"/>
      <c r="T533" s="30"/>
      <c r="U533" s="30"/>
      <c r="V533" s="30"/>
      <c r="W533" s="30"/>
      <c r="X533" s="30"/>
      <c r="Y533" s="30"/>
      <c r="Z533" s="30"/>
    </row>
    <row r="534" ht="42.75" customHeight="1">
      <c r="A534" s="25" t="s">
        <v>1552</v>
      </c>
      <c r="B534" s="61" t="s">
        <v>1553</v>
      </c>
      <c r="C534" s="27" t="s">
        <v>23</v>
      </c>
      <c r="D534" s="27" t="s">
        <v>1554</v>
      </c>
      <c r="E534" s="27" t="s">
        <v>1555</v>
      </c>
      <c r="F534" s="27" t="s">
        <v>147</v>
      </c>
      <c r="G534" s="28">
        <v>42396.0</v>
      </c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30"/>
      <c r="T534" s="30"/>
      <c r="U534" s="30"/>
      <c r="V534" s="30"/>
      <c r="W534" s="30"/>
      <c r="X534" s="30"/>
      <c r="Y534" s="30"/>
      <c r="Z534" s="30"/>
    </row>
    <row r="535" ht="71.25" customHeight="1">
      <c r="A535" s="31" t="s">
        <v>1556</v>
      </c>
      <c r="B535" s="69" t="s">
        <v>1557</v>
      </c>
      <c r="C535" s="33" t="s">
        <v>276</v>
      </c>
      <c r="D535" s="33" t="s">
        <v>1558</v>
      </c>
      <c r="E535" s="33" t="s">
        <v>1559</v>
      </c>
      <c r="F535" s="33" t="s">
        <v>184</v>
      </c>
      <c r="G535" s="34">
        <v>42348.0</v>
      </c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30"/>
      <c r="T535" s="30"/>
      <c r="U535" s="30"/>
      <c r="V535" s="30"/>
      <c r="W535" s="30"/>
      <c r="X535" s="30"/>
      <c r="Y535" s="30"/>
      <c r="Z535" s="30"/>
    </row>
    <row r="536" ht="51.0" customHeight="1">
      <c r="A536" s="31" t="s">
        <v>1560</v>
      </c>
      <c r="B536" s="70" t="s">
        <v>1561</v>
      </c>
      <c r="C536" s="33" t="s">
        <v>70</v>
      </c>
      <c r="D536" s="33" t="s">
        <v>1562</v>
      </c>
      <c r="E536" s="33" t="s">
        <v>1563</v>
      </c>
      <c r="F536" s="33" t="s">
        <v>180</v>
      </c>
      <c r="G536" s="34">
        <v>42411.0</v>
      </c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30"/>
      <c r="T536" s="30"/>
      <c r="U536" s="30"/>
      <c r="V536" s="30"/>
      <c r="W536" s="30"/>
      <c r="X536" s="30"/>
      <c r="Y536" s="30"/>
      <c r="Z536" s="30"/>
    </row>
    <row r="537" ht="42.75" customHeight="1">
      <c r="A537" s="25" t="s">
        <v>1564</v>
      </c>
      <c r="B537" s="61" t="s">
        <v>1565</v>
      </c>
      <c r="C537" s="27" t="s">
        <v>252</v>
      </c>
      <c r="D537" s="27" t="s">
        <v>1566</v>
      </c>
      <c r="E537" s="27" t="s">
        <v>1567</v>
      </c>
      <c r="F537" s="27" t="s">
        <v>947</v>
      </c>
      <c r="G537" s="28">
        <v>42403.0</v>
      </c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30"/>
      <c r="T537" s="30"/>
      <c r="U537" s="30"/>
      <c r="V537" s="30"/>
      <c r="W537" s="30"/>
      <c r="X537" s="30"/>
      <c r="Y537" s="30"/>
      <c r="Z537" s="30"/>
    </row>
    <row r="538" ht="42.75" customHeight="1">
      <c r="A538" s="31" t="s">
        <v>1568</v>
      </c>
      <c r="B538" s="63" t="s">
        <v>1569</v>
      </c>
      <c r="C538" s="33" t="s">
        <v>47</v>
      </c>
      <c r="D538" s="33" t="s">
        <v>1570</v>
      </c>
      <c r="E538" s="33" t="s">
        <v>1571</v>
      </c>
      <c r="F538" s="33" t="s">
        <v>88</v>
      </c>
      <c r="G538" s="34">
        <v>42411.0</v>
      </c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30"/>
      <c r="T538" s="30"/>
      <c r="U538" s="30"/>
      <c r="V538" s="30"/>
      <c r="W538" s="30"/>
      <c r="X538" s="30"/>
      <c r="Y538" s="30"/>
      <c r="Z538" s="30"/>
    </row>
    <row r="539" ht="63.75" customHeight="1">
      <c r="A539" s="25" t="s">
        <v>1572</v>
      </c>
      <c r="B539" s="61" t="s">
        <v>1573</v>
      </c>
      <c r="C539" s="27" t="s">
        <v>767</v>
      </c>
      <c r="D539" s="27" t="s">
        <v>1574</v>
      </c>
      <c r="E539" s="27" t="s">
        <v>1575</v>
      </c>
      <c r="F539" s="27" t="s">
        <v>1044</v>
      </c>
      <c r="G539" s="28">
        <v>42412.0</v>
      </c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30"/>
      <c r="T539" s="30"/>
      <c r="U539" s="30"/>
      <c r="V539" s="30"/>
      <c r="W539" s="30"/>
      <c r="X539" s="30"/>
      <c r="Y539" s="30"/>
      <c r="Z539" s="30"/>
    </row>
    <row r="540" ht="51.0" customHeight="1">
      <c r="A540" s="31" t="s">
        <v>1576</v>
      </c>
      <c r="B540" s="63" t="s">
        <v>1577</v>
      </c>
      <c r="C540" s="33" t="s">
        <v>70</v>
      </c>
      <c r="D540" s="33" t="s">
        <v>1578</v>
      </c>
      <c r="E540" s="33" t="s">
        <v>1579</v>
      </c>
      <c r="F540" s="33" t="s">
        <v>356</v>
      </c>
      <c r="G540" s="34">
        <v>42411.0</v>
      </c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30"/>
      <c r="T540" s="30"/>
      <c r="U540" s="30"/>
      <c r="V540" s="30"/>
      <c r="W540" s="30"/>
      <c r="X540" s="30"/>
      <c r="Y540" s="30"/>
      <c r="Z540" s="30"/>
    </row>
    <row r="541" ht="63.75" customHeight="1">
      <c r="A541" s="25" t="s">
        <v>1580</v>
      </c>
      <c r="B541" s="61" t="s">
        <v>1581</v>
      </c>
      <c r="C541" s="27" t="s">
        <v>70</v>
      </c>
      <c r="D541" s="27" t="s">
        <v>1582</v>
      </c>
      <c r="E541" s="27" t="s">
        <v>1583</v>
      </c>
      <c r="F541" s="27" t="s">
        <v>356</v>
      </c>
      <c r="G541" s="28">
        <v>42411.0</v>
      </c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30"/>
      <c r="T541" s="30"/>
      <c r="U541" s="30"/>
      <c r="V541" s="30"/>
      <c r="W541" s="30"/>
      <c r="X541" s="30"/>
      <c r="Y541" s="30"/>
      <c r="Z541" s="30"/>
    </row>
    <row r="542" ht="51.0" customHeight="1">
      <c r="A542" s="31" t="s">
        <v>1584</v>
      </c>
      <c r="B542" s="63" t="s">
        <v>1585</v>
      </c>
      <c r="C542" s="33" t="s">
        <v>18</v>
      </c>
      <c r="D542" s="33" t="s">
        <v>1586</v>
      </c>
      <c r="E542" s="33" t="s">
        <v>1587</v>
      </c>
      <c r="F542" s="33" t="s">
        <v>88</v>
      </c>
      <c r="G542" s="34">
        <v>42411.0</v>
      </c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30"/>
      <c r="T542" s="30"/>
      <c r="U542" s="30"/>
      <c r="V542" s="30"/>
      <c r="W542" s="30"/>
      <c r="X542" s="30"/>
      <c r="Y542" s="30"/>
      <c r="Z542" s="30"/>
    </row>
    <row r="543" ht="28.5" customHeight="1">
      <c r="A543" s="25" t="s">
        <v>1588</v>
      </c>
      <c r="B543" s="61" t="s">
        <v>1589</v>
      </c>
      <c r="C543" s="27" t="s">
        <v>61</v>
      </c>
      <c r="D543" s="27" t="s">
        <v>1590</v>
      </c>
      <c r="E543" s="27" t="s">
        <v>1591</v>
      </c>
      <c r="F543" s="27" t="s">
        <v>114</v>
      </c>
      <c r="G543" s="28">
        <v>42411.0</v>
      </c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30"/>
      <c r="T543" s="30"/>
      <c r="U543" s="30"/>
      <c r="V543" s="30"/>
      <c r="W543" s="30"/>
      <c r="X543" s="30"/>
      <c r="Y543" s="30"/>
      <c r="Z543" s="30"/>
    </row>
    <row r="544" ht="42.75" customHeight="1">
      <c r="A544" s="31" t="s">
        <v>1592</v>
      </c>
      <c r="B544" s="63" t="s">
        <v>1593</v>
      </c>
      <c r="C544" s="33" t="s">
        <v>167</v>
      </c>
      <c r="D544" s="33" t="s">
        <v>1594</v>
      </c>
      <c r="E544" s="33" t="s">
        <v>1595</v>
      </c>
      <c r="F544" s="33" t="s">
        <v>685</v>
      </c>
      <c r="G544" s="34">
        <v>42403.0</v>
      </c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30"/>
      <c r="T544" s="30"/>
      <c r="U544" s="30"/>
      <c r="V544" s="30"/>
      <c r="W544" s="30"/>
      <c r="X544" s="30"/>
      <c r="Y544" s="30"/>
      <c r="Z544" s="30"/>
    </row>
    <row r="545" ht="42.75" customHeight="1">
      <c r="A545" s="25" t="s">
        <v>1596</v>
      </c>
      <c r="B545" s="61" t="s">
        <v>1597</v>
      </c>
      <c r="C545" s="27" t="s">
        <v>1022</v>
      </c>
      <c r="D545" s="27" t="s">
        <v>1598</v>
      </c>
      <c r="E545" s="27" t="s">
        <v>1599</v>
      </c>
      <c r="F545" s="27" t="s">
        <v>1466</v>
      </c>
      <c r="G545" s="28">
        <v>42411.0</v>
      </c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30"/>
      <c r="T545" s="30"/>
      <c r="U545" s="30"/>
      <c r="V545" s="30"/>
      <c r="W545" s="30"/>
      <c r="X545" s="30"/>
      <c r="Y545" s="30"/>
      <c r="Z545" s="30"/>
    </row>
    <row r="546" ht="42.75" customHeight="1">
      <c r="A546" s="31" t="s">
        <v>1600</v>
      </c>
      <c r="B546" s="63" t="s">
        <v>1601</v>
      </c>
      <c r="C546" s="33" t="s">
        <v>252</v>
      </c>
      <c r="D546" s="33" t="s">
        <v>1602</v>
      </c>
      <c r="E546" s="33" t="s">
        <v>1603</v>
      </c>
      <c r="F546" s="33" t="s">
        <v>73</v>
      </c>
      <c r="G546" s="34">
        <v>42412.0</v>
      </c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30"/>
      <c r="T546" s="30"/>
      <c r="U546" s="30"/>
      <c r="V546" s="30"/>
      <c r="W546" s="30"/>
      <c r="X546" s="30"/>
      <c r="Y546" s="30"/>
      <c r="Z546" s="30"/>
    </row>
    <row r="547" ht="42.75" customHeight="1">
      <c r="A547" s="25" t="s">
        <v>1604</v>
      </c>
      <c r="B547" s="61" t="s">
        <v>1605</v>
      </c>
      <c r="C547" s="27" t="s">
        <v>43</v>
      </c>
      <c r="D547" s="27" t="s">
        <v>1606</v>
      </c>
      <c r="E547" s="27" t="s">
        <v>1607</v>
      </c>
      <c r="F547" s="27" t="s">
        <v>963</v>
      </c>
      <c r="G547" s="28">
        <v>42412.0</v>
      </c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30"/>
      <c r="T547" s="30"/>
      <c r="U547" s="30"/>
      <c r="V547" s="30"/>
      <c r="W547" s="30"/>
      <c r="X547" s="30"/>
      <c r="Y547" s="30"/>
      <c r="Z547" s="30"/>
    </row>
    <row r="548" ht="38.25" customHeight="1">
      <c r="A548" s="31" t="s">
        <v>1608</v>
      </c>
      <c r="B548" s="63" t="s">
        <v>1609</v>
      </c>
      <c r="C548" s="33" t="s">
        <v>252</v>
      </c>
      <c r="D548" s="33" t="s">
        <v>1610</v>
      </c>
      <c r="E548" s="33" t="s">
        <v>1611</v>
      </c>
      <c r="F548" s="33" t="s">
        <v>1020</v>
      </c>
      <c r="G548" s="34">
        <v>42411.0</v>
      </c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30"/>
      <c r="T548" s="30"/>
      <c r="U548" s="30"/>
      <c r="V548" s="30"/>
      <c r="W548" s="30"/>
      <c r="X548" s="30"/>
      <c r="Y548" s="30"/>
      <c r="Z548" s="30"/>
    </row>
    <row r="549" ht="38.25" customHeight="1">
      <c r="A549" s="25" t="s">
        <v>1612</v>
      </c>
      <c r="B549" s="61" t="s">
        <v>1613</v>
      </c>
      <c r="C549" s="27" t="s">
        <v>1022</v>
      </c>
      <c r="D549" s="27" t="s">
        <v>1614</v>
      </c>
      <c r="E549" s="27" t="s">
        <v>1615</v>
      </c>
      <c r="F549" s="27" t="s">
        <v>184</v>
      </c>
      <c r="G549" s="28">
        <v>42403.0</v>
      </c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30"/>
      <c r="T549" s="30"/>
      <c r="U549" s="30"/>
      <c r="V549" s="30"/>
      <c r="W549" s="30"/>
      <c r="X549" s="30"/>
      <c r="Y549" s="30"/>
      <c r="Z549" s="30"/>
    </row>
    <row r="550" ht="51.75" customHeight="1">
      <c r="A550" s="31" t="s">
        <v>1616</v>
      </c>
      <c r="B550" s="63" t="s">
        <v>1617</v>
      </c>
      <c r="C550" s="33" t="s">
        <v>252</v>
      </c>
      <c r="D550" s="33" t="s">
        <v>1618</v>
      </c>
      <c r="E550" s="33" t="s">
        <v>1619</v>
      </c>
      <c r="F550" s="33" t="s">
        <v>1466</v>
      </c>
      <c r="G550" s="34">
        <v>42411.0</v>
      </c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30"/>
      <c r="T550" s="30"/>
      <c r="U550" s="30"/>
      <c r="V550" s="30"/>
      <c r="W550" s="30"/>
      <c r="X550" s="30"/>
      <c r="Y550" s="30"/>
      <c r="Z550" s="30"/>
    </row>
    <row r="551" ht="39.0" customHeight="1">
      <c r="A551" s="31" t="s">
        <v>1620</v>
      </c>
      <c r="B551" s="63" t="s">
        <v>1621</v>
      </c>
      <c r="C551" s="33" t="s">
        <v>195</v>
      </c>
      <c r="D551" s="33" t="s">
        <v>1622</v>
      </c>
      <c r="E551" s="33" t="s">
        <v>1623</v>
      </c>
      <c r="F551" s="33" t="s">
        <v>88</v>
      </c>
      <c r="G551" s="34">
        <v>42411.0</v>
      </c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30"/>
      <c r="T551" s="30"/>
      <c r="U551" s="30"/>
      <c r="V551" s="30"/>
      <c r="W551" s="30"/>
      <c r="X551" s="30"/>
      <c r="Y551" s="30"/>
      <c r="Z551" s="30"/>
    </row>
    <row r="552" ht="25.5" customHeight="1">
      <c r="A552" s="25" t="s">
        <v>1624</v>
      </c>
      <c r="B552" s="61" t="s">
        <v>1625</v>
      </c>
      <c r="C552" s="71" t="s">
        <v>1626</v>
      </c>
      <c r="D552" s="71" t="s">
        <v>1627</v>
      </c>
      <c r="E552" s="71" t="s">
        <v>1628</v>
      </c>
      <c r="F552" s="71" t="s">
        <v>356</v>
      </c>
      <c r="G552" s="72">
        <v>42788.0</v>
      </c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8"/>
      <c r="T552" s="8"/>
      <c r="U552" s="8"/>
      <c r="V552" s="8"/>
      <c r="W552" s="8"/>
      <c r="X552" s="8"/>
      <c r="Y552" s="8"/>
      <c r="Z552" s="8"/>
    </row>
    <row r="553" ht="51.0" customHeight="1">
      <c r="A553" s="31" t="s">
        <v>1629</v>
      </c>
      <c r="B553" s="63" t="s">
        <v>1630</v>
      </c>
      <c r="C553" s="33" t="s">
        <v>1631</v>
      </c>
      <c r="D553" s="33" t="s">
        <v>1632</v>
      </c>
      <c r="E553" s="33" t="s">
        <v>1633</v>
      </c>
      <c r="F553" s="33" t="s">
        <v>184</v>
      </c>
      <c r="G553" s="34">
        <v>42788.0</v>
      </c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8"/>
      <c r="T553" s="8"/>
      <c r="U553" s="8"/>
      <c r="V553" s="8"/>
      <c r="W553" s="8"/>
      <c r="X553" s="8"/>
      <c r="Y553" s="8"/>
      <c r="Z553" s="8"/>
    </row>
    <row r="554" ht="38.25" customHeight="1">
      <c r="A554" s="25" t="s">
        <v>1634</v>
      </c>
      <c r="B554" s="61" t="s">
        <v>1635</v>
      </c>
      <c r="C554" s="71" t="s">
        <v>23</v>
      </c>
      <c r="D554" s="71" t="s">
        <v>1636</v>
      </c>
      <c r="E554" s="71" t="s">
        <v>1637</v>
      </c>
      <c r="F554" s="71" t="s">
        <v>184</v>
      </c>
      <c r="G554" s="72">
        <v>42788.0</v>
      </c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8"/>
      <c r="T554" s="8"/>
      <c r="U554" s="8"/>
      <c r="V554" s="8"/>
      <c r="W554" s="8"/>
      <c r="X554" s="8"/>
      <c r="Y554" s="8"/>
      <c r="Z554" s="8"/>
    </row>
    <row r="555" ht="42.75" customHeight="1">
      <c r="A555" s="31" t="s">
        <v>1638</v>
      </c>
      <c r="B555" s="73" t="s">
        <v>1639</v>
      </c>
      <c r="C555" s="33" t="s">
        <v>167</v>
      </c>
      <c r="D555" s="33" t="s">
        <v>1640</v>
      </c>
      <c r="E555" s="33" t="s">
        <v>1641</v>
      </c>
      <c r="F555" s="33" t="s">
        <v>1020</v>
      </c>
      <c r="G555" s="34">
        <v>42787.0</v>
      </c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8"/>
      <c r="T555" s="8"/>
      <c r="U555" s="8"/>
      <c r="V555" s="8"/>
      <c r="W555" s="8"/>
      <c r="X555" s="8"/>
      <c r="Y555" s="8"/>
      <c r="Z555" s="8"/>
    </row>
    <row r="556" ht="38.25" customHeight="1">
      <c r="A556" s="25" t="s">
        <v>1642</v>
      </c>
      <c r="B556" s="61" t="s">
        <v>1643</v>
      </c>
      <c r="C556" s="71" t="s">
        <v>754</v>
      </c>
      <c r="D556" s="71" t="s">
        <v>1644</v>
      </c>
      <c r="E556" s="71" t="s">
        <v>1645</v>
      </c>
      <c r="F556" s="71" t="s">
        <v>473</v>
      </c>
      <c r="G556" s="72">
        <v>42788.0</v>
      </c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8"/>
      <c r="T556" s="8"/>
      <c r="U556" s="8"/>
      <c r="V556" s="8"/>
      <c r="W556" s="8"/>
      <c r="X556" s="8"/>
      <c r="Y556" s="8"/>
      <c r="Z556" s="8"/>
    </row>
    <row r="557" ht="51.0" customHeight="1">
      <c r="A557" s="31" t="s">
        <v>1646</v>
      </c>
      <c r="B557" s="73" t="s">
        <v>1647</v>
      </c>
      <c r="C557" s="33" t="s">
        <v>1022</v>
      </c>
      <c r="D557" s="33" t="s">
        <v>1648</v>
      </c>
      <c r="E557" s="33" t="s">
        <v>1649</v>
      </c>
      <c r="F557" s="33" t="s">
        <v>1287</v>
      </c>
      <c r="G557" s="34">
        <v>42788.0</v>
      </c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8"/>
      <c r="T557" s="8"/>
      <c r="U557" s="8"/>
      <c r="V557" s="8"/>
      <c r="W557" s="8"/>
      <c r="X557" s="8"/>
      <c r="Y557" s="8"/>
      <c r="Z557" s="8"/>
    </row>
    <row r="558" ht="42.75" customHeight="1">
      <c r="A558" s="25" t="s">
        <v>1650</v>
      </c>
      <c r="B558" s="61" t="s">
        <v>1651</v>
      </c>
      <c r="C558" s="71" t="s">
        <v>1652</v>
      </c>
      <c r="D558" s="71" t="s">
        <v>1653</v>
      </c>
      <c r="E558" s="71" t="s">
        <v>1654</v>
      </c>
      <c r="F558" s="71" t="s">
        <v>1011</v>
      </c>
      <c r="G558" s="72">
        <v>42781.0</v>
      </c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8"/>
      <c r="T558" s="8"/>
      <c r="U558" s="8"/>
      <c r="V558" s="8"/>
      <c r="W558" s="8"/>
      <c r="X558" s="8"/>
      <c r="Y558" s="8"/>
      <c r="Z558" s="8"/>
    </row>
    <row r="559" ht="51.0" customHeight="1">
      <c r="A559" s="31" t="s">
        <v>1655</v>
      </c>
      <c r="B559" s="63" t="s">
        <v>1656</v>
      </c>
      <c r="C559" s="33" t="s">
        <v>1022</v>
      </c>
      <c r="D559" s="33" t="s">
        <v>1657</v>
      </c>
      <c r="E559" s="33" t="s">
        <v>1658</v>
      </c>
      <c r="F559" s="33" t="s">
        <v>232</v>
      </c>
      <c r="G559" s="34">
        <v>42787.0</v>
      </c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8"/>
      <c r="T559" s="8"/>
      <c r="U559" s="8"/>
      <c r="V559" s="8"/>
      <c r="W559" s="8"/>
      <c r="X559" s="8"/>
      <c r="Y559" s="8"/>
      <c r="Z559" s="8"/>
    </row>
    <row r="560" ht="51.0" customHeight="1">
      <c r="A560" s="25" t="s">
        <v>1659</v>
      </c>
      <c r="B560" s="61" t="s">
        <v>1660</v>
      </c>
      <c r="C560" s="71" t="s">
        <v>1661</v>
      </c>
      <c r="D560" s="71" t="s">
        <v>1662</v>
      </c>
      <c r="E560" s="71" t="s">
        <v>1663</v>
      </c>
      <c r="F560" s="71" t="s">
        <v>963</v>
      </c>
      <c r="G560" s="72">
        <v>42788.0</v>
      </c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8"/>
      <c r="T560" s="8"/>
      <c r="U560" s="8"/>
      <c r="V560" s="8"/>
      <c r="W560" s="8"/>
      <c r="X560" s="8"/>
      <c r="Y560" s="8"/>
      <c r="Z560" s="8"/>
    </row>
    <row r="561" ht="42.75" customHeight="1">
      <c r="A561" s="31" t="s">
        <v>1664</v>
      </c>
      <c r="B561" s="63" t="s">
        <v>1665</v>
      </c>
      <c r="C561" s="33" t="s">
        <v>195</v>
      </c>
      <c r="D561" s="33" t="s">
        <v>1666</v>
      </c>
      <c r="E561" s="33" t="s">
        <v>1667</v>
      </c>
      <c r="F561" s="33" t="s">
        <v>1287</v>
      </c>
      <c r="G561" s="34">
        <v>42788.0</v>
      </c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8"/>
      <c r="T561" s="8"/>
      <c r="U561" s="8"/>
      <c r="V561" s="8"/>
      <c r="W561" s="8"/>
      <c r="X561" s="8"/>
      <c r="Y561" s="8"/>
      <c r="Z561" s="8"/>
    </row>
    <row r="562" ht="38.25" customHeight="1">
      <c r="A562" s="25" t="s">
        <v>1668</v>
      </c>
      <c r="B562" s="61" t="s">
        <v>1669</v>
      </c>
      <c r="C562" s="71" t="s">
        <v>1670</v>
      </c>
      <c r="D562" s="71" t="s">
        <v>1671</v>
      </c>
      <c r="E562" s="71" t="s">
        <v>1672</v>
      </c>
      <c r="F562" s="71" t="s">
        <v>1185</v>
      </c>
      <c r="G562" s="72">
        <v>42786.0</v>
      </c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8"/>
      <c r="T562" s="8"/>
      <c r="U562" s="8"/>
      <c r="V562" s="8"/>
      <c r="W562" s="8"/>
      <c r="X562" s="8"/>
      <c r="Y562" s="8"/>
      <c r="Z562" s="8"/>
    </row>
    <row r="563" ht="38.25" customHeight="1">
      <c r="A563" s="31" t="s">
        <v>1673</v>
      </c>
      <c r="B563" s="63" t="s">
        <v>1674</v>
      </c>
      <c r="C563" s="33" t="s">
        <v>767</v>
      </c>
      <c r="D563" s="33" t="s">
        <v>1675</v>
      </c>
      <c r="E563" s="33" t="s">
        <v>1676</v>
      </c>
      <c r="F563" s="33" t="s">
        <v>1044</v>
      </c>
      <c r="G563" s="34">
        <v>42788.0</v>
      </c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8"/>
      <c r="T563" s="8"/>
      <c r="U563" s="8"/>
      <c r="V563" s="8"/>
      <c r="W563" s="8"/>
      <c r="X563" s="8"/>
      <c r="Y563" s="8"/>
      <c r="Z563" s="8"/>
    </row>
    <row r="564" ht="51.0" customHeight="1">
      <c r="A564" s="25" t="s">
        <v>1677</v>
      </c>
      <c r="B564" s="61" t="s">
        <v>1678</v>
      </c>
      <c r="C564" s="71" t="s">
        <v>1679</v>
      </c>
      <c r="D564" s="71" t="s">
        <v>1680</v>
      </c>
      <c r="E564" s="71" t="s">
        <v>1681</v>
      </c>
      <c r="F564" s="71" t="s">
        <v>1466</v>
      </c>
      <c r="G564" s="72">
        <v>42787.0</v>
      </c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8"/>
      <c r="T564" s="8"/>
      <c r="U564" s="8"/>
      <c r="V564" s="8"/>
      <c r="W564" s="8"/>
      <c r="X564" s="8"/>
      <c r="Y564" s="8"/>
      <c r="Z564" s="8"/>
    </row>
    <row r="565" ht="38.25" customHeight="1">
      <c r="A565" s="31" t="s">
        <v>1682</v>
      </c>
      <c r="B565" s="63" t="s">
        <v>1683</v>
      </c>
      <c r="C565" s="33" t="s">
        <v>252</v>
      </c>
      <c r="D565" s="33" t="s">
        <v>1684</v>
      </c>
      <c r="E565" s="33" t="s">
        <v>1685</v>
      </c>
      <c r="F565" s="33" t="s">
        <v>685</v>
      </c>
      <c r="G565" s="34">
        <v>42786.0</v>
      </c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8"/>
      <c r="T565" s="8"/>
      <c r="U565" s="8"/>
      <c r="V565" s="8"/>
      <c r="W565" s="8"/>
      <c r="X565" s="8"/>
      <c r="Y565" s="8"/>
      <c r="Z565" s="8"/>
    </row>
    <row r="566" ht="38.25" customHeight="1">
      <c r="A566" s="25" t="s">
        <v>1686</v>
      </c>
      <c r="B566" s="61" t="s">
        <v>1687</v>
      </c>
      <c r="C566" s="71" t="s">
        <v>1688</v>
      </c>
      <c r="D566" s="71" t="s">
        <v>1689</v>
      </c>
      <c r="E566" s="71" t="s">
        <v>1690</v>
      </c>
      <c r="F566" s="71" t="s">
        <v>232</v>
      </c>
      <c r="G566" s="72">
        <v>42786.0</v>
      </c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8"/>
      <c r="T566" s="8"/>
      <c r="U566" s="8"/>
      <c r="V566" s="8"/>
      <c r="W566" s="8"/>
      <c r="X566" s="8"/>
      <c r="Y566" s="8"/>
      <c r="Z566" s="8"/>
    </row>
    <row r="567" ht="28.5" customHeight="1">
      <c r="A567" s="31" t="s">
        <v>1691</v>
      </c>
      <c r="B567" s="63" t="s">
        <v>1692</v>
      </c>
      <c r="C567" s="33" t="s">
        <v>61</v>
      </c>
      <c r="D567" s="33" t="s">
        <v>1693</v>
      </c>
      <c r="E567" s="33" t="s">
        <v>1694</v>
      </c>
      <c r="F567" s="33" t="s">
        <v>685</v>
      </c>
      <c r="G567" s="34">
        <v>42786.0</v>
      </c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8"/>
      <c r="T567" s="8"/>
      <c r="U567" s="8"/>
      <c r="V567" s="8"/>
      <c r="W567" s="8"/>
      <c r="X567" s="8"/>
      <c r="Y567" s="8"/>
      <c r="Z567" s="8"/>
    </row>
    <row r="568" ht="51.0" customHeight="1">
      <c r="A568" s="25" t="s">
        <v>1695</v>
      </c>
      <c r="B568" s="61" t="s">
        <v>1696</v>
      </c>
      <c r="C568" s="71" t="s">
        <v>52</v>
      </c>
      <c r="D568" s="71" t="s">
        <v>1697</v>
      </c>
      <c r="E568" s="71" t="s">
        <v>1698</v>
      </c>
      <c r="F568" s="71" t="s">
        <v>685</v>
      </c>
      <c r="G568" s="72">
        <v>42780.0</v>
      </c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8"/>
      <c r="T568" s="8"/>
      <c r="U568" s="8"/>
      <c r="V568" s="8"/>
      <c r="W568" s="8"/>
      <c r="X568" s="8"/>
      <c r="Y568" s="8"/>
      <c r="Z568" s="8"/>
    </row>
    <row r="569" ht="63.75" customHeight="1">
      <c r="A569" s="31" t="s">
        <v>1699</v>
      </c>
      <c r="B569" s="63" t="s">
        <v>1700</v>
      </c>
      <c r="C569" s="33" t="s">
        <v>252</v>
      </c>
      <c r="D569" s="33" t="s">
        <v>1701</v>
      </c>
      <c r="E569" s="33" t="s">
        <v>1702</v>
      </c>
      <c r="F569" s="33" t="s">
        <v>162</v>
      </c>
      <c r="G569" s="34">
        <v>42780.0</v>
      </c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8"/>
      <c r="T569" s="8"/>
      <c r="U569" s="8"/>
      <c r="V569" s="8"/>
      <c r="W569" s="8"/>
      <c r="X569" s="8"/>
      <c r="Y569" s="8"/>
      <c r="Z569" s="8"/>
    </row>
    <row r="570" ht="25.5" customHeight="1">
      <c r="A570" s="25" t="s">
        <v>1703</v>
      </c>
      <c r="B570" s="61" t="s">
        <v>1704</v>
      </c>
      <c r="C570" s="71" t="s">
        <v>386</v>
      </c>
      <c r="D570" s="71" t="s">
        <v>1705</v>
      </c>
      <c r="E570" s="71" t="s">
        <v>1706</v>
      </c>
      <c r="F570" s="71" t="s">
        <v>1466</v>
      </c>
      <c r="G570" s="72">
        <v>42787.0</v>
      </c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8"/>
      <c r="T570" s="8"/>
      <c r="U570" s="8"/>
      <c r="V570" s="8"/>
      <c r="W570" s="8"/>
      <c r="X570" s="8"/>
      <c r="Y570" s="8"/>
      <c r="Z570" s="8"/>
    </row>
    <row r="571" ht="42.75" customHeight="1">
      <c r="A571" s="31" t="s">
        <v>1707</v>
      </c>
      <c r="B571" s="63" t="s">
        <v>1708</v>
      </c>
      <c r="C571" s="33" t="s">
        <v>311</v>
      </c>
      <c r="D571" s="33" t="s">
        <v>1709</v>
      </c>
      <c r="E571" s="33" t="s">
        <v>1710</v>
      </c>
      <c r="F571" s="33" t="s">
        <v>180</v>
      </c>
      <c r="G571" s="34">
        <v>42774.0</v>
      </c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8"/>
      <c r="T571" s="8"/>
      <c r="U571" s="8"/>
      <c r="V571" s="8"/>
      <c r="W571" s="8"/>
      <c r="X571" s="8"/>
      <c r="Y571" s="8"/>
      <c r="Z571" s="8"/>
    </row>
    <row r="572" ht="25.5" customHeight="1">
      <c r="A572" s="25" t="s">
        <v>1711</v>
      </c>
      <c r="B572" s="74" t="s">
        <v>1712</v>
      </c>
      <c r="C572" s="71" t="s">
        <v>814</v>
      </c>
      <c r="D572" s="71" t="s">
        <v>1713</v>
      </c>
      <c r="E572" s="71" t="s">
        <v>1714</v>
      </c>
      <c r="F572" s="71" t="s">
        <v>1011</v>
      </c>
      <c r="G572" s="72">
        <v>42781.0</v>
      </c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8"/>
      <c r="T572" s="8"/>
      <c r="U572" s="8"/>
      <c r="V572" s="8"/>
      <c r="W572" s="8"/>
      <c r="X572" s="8"/>
      <c r="Y572" s="8"/>
      <c r="Z572" s="8"/>
    </row>
    <row r="573" ht="28.5" customHeight="1">
      <c r="A573" s="31" t="s">
        <v>1715</v>
      </c>
      <c r="B573" s="73" t="s">
        <v>1716</v>
      </c>
      <c r="C573" s="33" t="s">
        <v>1717</v>
      </c>
      <c r="D573" s="33" t="s">
        <v>1718</v>
      </c>
      <c r="E573" s="33" t="s">
        <v>1719</v>
      </c>
      <c r="F573" s="33" t="s">
        <v>88</v>
      </c>
      <c r="G573" s="34">
        <v>42783.0</v>
      </c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8"/>
      <c r="T573" s="8"/>
      <c r="U573" s="8"/>
      <c r="V573" s="8"/>
      <c r="W573" s="8"/>
      <c r="X573" s="8"/>
      <c r="Y573" s="8"/>
      <c r="Z573" s="8"/>
    </row>
    <row r="574" ht="25.5" customHeight="1">
      <c r="A574" s="25" t="s">
        <v>1720</v>
      </c>
      <c r="B574" s="74" t="s">
        <v>1721</v>
      </c>
      <c r="C574" s="71" t="s">
        <v>1187</v>
      </c>
      <c r="D574" s="71" t="s">
        <v>1722</v>
      </c>
      <c r="E574" s="71" t="s">
        <v>1723</v>
      </c>
      <c r="F574" s="71" t="s">
        <v>1083</v>
      </c>
      <c r="G574" s="72">
        <v>42788.0</v>
      </c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8"/>
      <c r="T574" s="8"/>
      <c r="U574" s="8"/>
      <c r="V574" s="8"/>
      <c r="W574" s="8"/>
      <c r="X574" s="8"/>
      <c r="Y574" s="8"/>
      <c r="Z574" s="8"/>
    </row>
    <row r="575" ht="42.75" customHeight="1">
      <c r="A575" s="31" t="s">
        <v>1724</v>
      </c>
      <c r="B575" s="73" t="s">
        <v>1725</v>
      </c>
      <c r="C575" s="33" t="s">
        <v>1726</v>
      </c>
      <c r="D575" s="33" t="s">
        <v>1727</v>
      </c>
      <c r="E575" s="33" t="s">
        <v>1728</v>
      </c>
      <c r="F575" s="33" t="s">
        <v>180</v>
      </c>
      <c r="G575" s="34">
        <v>42787.0</v>
      </c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8"/>
      <c r="T575" s="8"/>
      <c r="U575" s="8"/>
      <c r="V575" s="8"/>
      <c r="W575" s="8"/>
      <c r="X575" s="8"/>
      <c r="Y575" s="8"/>
      <c r="Z575" s="8"/>
    </row>
    <row r="576" ht="25.5" customHeight="1">
      <c r="A576" s="25" t="s">
        <v>1729</v>
      </c>
      <c r="B576" s="74" t="s">
        <v>1730</v>
      </c>
      <c r="C576" s="71" t="s">
        <v>195</v>
      </c>
      <c r="D576" s="71" t="s">
        <v>1731</v>
      </c>
      <c r="E576" s="71" t="s">
        <v>1732</v>
      </c>
      <c r="F576" s="71" t="s">
        <v>356</v>
      </c>
      <c r="G576" s="72">
        <v>42576.0</v>
      </c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8"/>
      <c r="T576" s="8"/>
      <c r="U576" s="8"/>
      <c r="V576" s="8"/>
      <c r="W576" s="8"/>
      <c r="X576" s="8"/>
      <c r="Y576" s="8"/>
      <c r="Z576" s="8"/>
    </row>
    <row r="577" ht="42.75" customHeight="1">
      <c r="A577" s="31" t="s">
        <v>1733</v>
      </c>
      <c r="B577" s="73" t="s">
        <v>1734</v>
      </c>
      <c r="C577" s="33" t="s">
        <v>1661</v>
      </c>
      <c r="D577" s="33" t="s">
        <v>1735</v>
      </c>
      <c r="E577" s="33" t="s">
        <v>1736</v>
      </c>
      <c r="F577" s="33" t="s">
        <v>1737</v>
      </c>
      <c r="G577" s="34">
        <v>42571.0</v>
      </c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8"/>
      <c r="T577" s="8"/>
      <c r="U577" s="8"/>
      <c r="V577" s="8"/>
      <c r="W577" s="8"/>
      <c r="X577" s="8"/>
      <c r="Y577" s="8"/>
      <c r="Z577" s="8"/>
    </row>
    <row r="578" ht="51.0" customHeight="1">
      <c r="A578" s="25" t="s">
        <v>1738</v>
      </c>
      <c r="B578" s="74" t="s">
        <v>1739</v>
      </c>
      <c r="C578" s="71" t="s">
        <v>61</v>
      </c>
      <c r="D578" s="71" t="s">
        <v>1740</v>
      </c>
      <c r="E578" s="71" t="s">
        <v>1741</v>
      </c>
      <c r="F578" s="71" t="s">
        <v>1185</v>
      </c>
      <c r="G578" s="72">
        <v>42576.0</v>
      </c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8"/>
      <c r="T578" s="8"/>
      <c r="U578" s="8"/>
      <c r="V578" s="8"/>
      <c r="W578" s="8"/>
      <c r="X578" s="8"/>
      <c r="Y578" s="8"/>
      <c r="Z578" s="8"/>
    </row>
    <row r="579" ht="42.75" customHeight="1">
      <c r="A579" s="31" t="s">
        <v>1742</v>
      </c>
      <c r="B579" s="73" t="s">
        <v>1743</v>
      </c>
      <c r="C579" s="33" t="s">
        <v>311</v>
      </c>
      <c r="D579" s="33" t="s">
        <v>1744</v>
      </c>
      <c r="E579" s="33" t="s">
        <v>1745</v>
      </c>
      <c r="F579" s="33" t="s">
        <v>1185</v>
      </c>
      <c r="G579" s="34">
        <v>42576.0</v>
      </c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8"/>
      <c r="T579" s="8"/>
      <c r="U579" s="8"/>
      <c r="V579" s="8"/>
      <c r="W579" s="8"/>
      <c r="X579" s="8"/>
      <c r="Y579" s="8"/>
      <c r="Z579" s="8"/>
    </row>
    <row r="580" ht="38.25" customHeight="1">
      <c r="A580" s="25" t="s">
        <v>1746</v>
      </c>
      <c r="B580" s="74" t="s">
        <v>1747</v>
      </c>
      <c r="C580" s="71" t="s">
        <v>23</v>
      </c>
      <c r="D580" s="71" t="s">
        <v>1748</v>
      </c>
      <c r="E580" s="71" t="s">
        <v>1749</v>
      </c>
      <c r="F580" s="71" t="s">
        <v>1185</v>
      </c>
      <c r="G580" s="72">
        <v>42576.0</v>
      </c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8"/>
      <c r="T580" s="8"/>
      <c r="U580" s="8"/>
      <c r="V580" s="8"/>
      <c r="W580" s="8"/>
      <c r="X580" s="8"/>
      <c r="Y580" s="8"/>
      <c r="Z580" s="8"/>
    </row>
    <row r="581" ht="51.0" customHeight="1">
      <c r="A581" s="31" t="s">
        <v>1750</v>
      </c>
      <c r="B581" s="73" t="s">
        <v>1751</v>
      </c>
      <c r="C581" s="33" t="s">
        <v>43</v>
      </c>
      <c r="D581" s="33" t="s">
        <v>1752</v>
      </c>
      <c r="E581" s="33" t="s">
        <v>1753</v>
      </c>
      <c r="F581" s="33" t="s">
        <v>620</v>
      </c>
      <c r="G581" s="34">
        <v>42572.0</v>
      </c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8"/>
      <c r="T581" s="8"/>
      <c r="U581" s="8"/>
      <c r="V581" s="8"/>
      <c r="W581" s="8"/>
      <c r="X581" s="8"/>
      <c r="Y581" s="8"/>
      <c r="Z581" s="8"/>
    </row>
    <row r="582" ht="51.0" customHeight="1">
      <c r="A582" s="25" t="s">
        <v>1754</v>
      </c>
      <c r="B582" s="74" t="s">
        <v>1755</v>
      </c>
      <c r="C582" s="71" t="s">
        <v>195</v>
      </c>
      <c r="D582" s="71" t="s">
        <v>1756</v>
      </c>
      <c r="E582" s="71" t="s">
        <v>1757</v>
      </c>
      <c r="F582" s="71" t="s">
        <v>205</v>
      </c>
      <c r="G582" s="72">
        <v>42573.0</v>
      </c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8"/>
      <c r="T582" s="8"/>
      <c r="U582" s="8"/>
      <c r="V582" s="8"/>
      <c r="W582" s="8"/>
      <c r="X582" s="8"/>
      <c r="Y582" s="8"/>
      <c r="Z582" s="8"/>
    </row>
    <row r="583" ht="39.0" customHeight="1">
      <c r="A583" s="31" t="s">
        <v>1758</v>
      </c>
      <c r="B583" s="75" t="s">
        <v>1759</v>
      </c>
      <c r="C583" s="33" t="s">
        <v>137</v>
      </c>
      <c r="D583" s="33" t="s">
        <v>1760</v>
      </c>
      <c r="E583" s="33" t="s">
        <v>1761</v>
      </c>
      <c r="F583" s="33" t="s">
        <v>861</v>
      </c>
      <c r="G583" s="34">
        <v>42576.0</v>
      </c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51.0" customHeight="1">
      <c r="A584" s="41" t="s">
        <v>1762</v>
      </c>
      <c r="B584" s="74" t="s">
        <v>1763</v>
      </c>
      <c r="C584" s="71" t="s">
        <v>1764</v>
      </c>
      <c r="D584" s="71" t="s">
        <v>1765</v>
      </c>
      <c r="E584" s="71" t="s">
        <v>1766</v>
      </c>
      <c r="F584" s="71" t="s">
        <v>232</v>
      </c>
      <c r="G584" s="76">
        <v>2017.0</v>
      </c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51.0" customHeight="1">
      <c r="A585" s="77">
        <v>42767.0</v>
      </c>
      <c r="B585" s="73" t="s">
        <v>1767</v>
      </c>
      <c r="C585" s="33" t="s">
        <v>1768</v>
      </c>
      <c r="D585" s="33" t="s">
        <v>1769</v>
      </c>
      <c r="E585" s="33" t="s">
        <v>1770</v>
      </c>
      <c r="F585" s="33" t="s">
        <v>232</v>
      </c>
      <c r="G585" s="36">
        <v>2017.0</v>
      </c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25.5" customHeight="1">
      <c r="A586" s="41" t="s">
        <v>1771</v>
      </c>
      <c r="B586" s="74" t="s">
        <v>1772</v>
      </c>
      <c r="C586" s="71" t="s">
        <v>47</v>
      </c>
      <c r="D586" s="71" t="s">
        <v>1773</v>
      </c>
      <c r="E586" s="71" t="s">
        <v>1774</v>
      </c>
      <c r="F586" s="71" t="s">
        <v>947</v>
      </c>
      <c r="G586" s="76">
        <v>2017.0</v>
      </c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38.25" customHeight="1">
      <c r="A587" s="78" t="s">
        <v>1775</v>
      </c>
      <c r="B587" s="73" t="s">
        <v>1776</v>
      </c>
      <c r="C587" s="48" t="s">
        <v>61</v>
      </c>
      <c r="D587" s="48" t="s">
        <v>1777</v>
      </c>
      <c r="E587" s="33" t="s">
        <v>1778</v>
      </c>
      <c r="F587" s="48" t="s">
        <v>80</v>
      </c>
      <c r="G587" s="79">
        <v>2017.0</v>
      </c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38.25" customHeight="1">
      <c r="A588" s="49">
        <v>42856.0</v>
      </c>
      <c r="B588" s="74" t="s">
        <v>1779</v>
      </c>
      <c r="C588" s="71" t="s">
        <v>301</v>
      </c>
      <c r="D588" s="71" t="s">
        <v>1780</v>
      </c>
      <c r="E588" s="71" t="s">
        <v>1781</v>
      </c>
      <c r="F588" s="71" t="s">
        <v>1466</v>
      </c>
      <c r="G588" s="76">
        <v>2017.0</v>
      </c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38.25" customHeight="1">
      <c r="A589" s="80">
        <v>42887.0</v>
      </c>
      <c r="B589" s="73" t="s">
        <v>1782</v>
      </c>
      <c r="C589" s="48" t="s">
        <v>13</v>
      </c>
      <c r="D589" s="48" t="s">
        <v>1783</v>
      </c>
      <c r="E589" s="33" t="s">
        <v>1784</v>
      </c>
      <c r="F589" s="48" t="s">
        <v>1466</v>
      </c>
      <c r="G589" s="79">
        <v>2017.0</v>
      </c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38.25" customHeight="1">
      <c r="A590" s="49">
        <v>42917.0</v>
      </c>
      <c r="B590" s="74" t="s">
        <v>1785</v>
      </c>
      <c r="C590" s="71" t="s">
        <v>1786</v>
      </c>
      <c r="D590" s="71" t="s">
        <v>1787</v>
      </c>
      <c r="E590" s="71" t="s">
        <v>1788</v>
      </c>
      <c r="F590" s="71" t="s">
        <v>26</v>
      </c>
      <c r="G590" s="76">
        <v>2017.0</v>
      </c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38.25" customHeight="1">
      <c r="A591" s="80">
        <v>42948.0</v>
      </c>
      <c r="B591" s="73" t="s">
        <v>1789</v>
      </c>
      <c r="C591" s="48" t="s">
        <v>195</v>
      </c>
      <c r="D591" s="48" t="s">
        <v>1790</v>
      </c>
      <c r="E591" s="33" t="s">
        <v>1791</v>
      </c>
      <c r="F591" s="48" t="s">
        <v>114</v>
      </c>
      <c r="G591" s="79">
        <v>2017.0</v>
      </c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38.25" customHeight="1">
      <c r="A592" s="49">
        <v>42979.0</v>
      </c>
      <c r="B592" s="74" t="s">
        <v>1792</v>
      </c>
      <c r="C592" s="71" t="s">
        <v>195</v>
      </c>
      <c r="D592" s="71" t="s">
        <v>1793</v>
      </c>
      <c r="E592" s="71" t="s">
        <v>1794</v>
      </c>
      <c r="F592" s="71" t="s">
        <v>114</v>
      </c>
      <c r="G592" s="76">
        <v>2017.0</v>
      </c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38.25" customHeight="1">
      <c r="A593" s="81">
        <v>43009.0</v>
      </c>
      <c r="B593" s="73" t="s">
        <v>1795</v>
      </c>
      <c r="C593" s="48" t="s">
        <v>61</v>
      </c>
      <c r="D593" s="48" t="s">
        <v>1796</v>
      </c>
      <c r="E593" s="33" t="s">
        <v>1797</v>
      </c>
      <c r="F593" s="48" t="s">
        <v>1798</v>
      </c>
      <c r="G593" s="79">
        <v>2017.0</v>
      </c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38.25" customHeight="1">
      <c r="A594" s="82">
        <v>43040.0</v>
      </c>
      <c r="B594" s="74" t="s">
        <v>1799</v>
      </c>
      <c r="C594" s="71" t="s">
        <v>1800</v>
      </c>
      <c r="D594" s="71" t="s">
        <v>1801</v>
      </c>
      <c r="E594" s="71" t="s">
        <v>1802</v>
      </c>
      <c r="F594" s="71" t="s">
        <v>180</v>
      </c>
      <c r="G594" s="76">
        <v>2017.0</v>
      </c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51.0" customHeight="1">
      <c r="A595" s="81">
        <v>43070.0</v>
      </c>
      <c r="B595" s="73" t="s">
        <v>1803</v>
      </c>
      <c r="C595" s="48" t="s">
        <v>1804</v>
      </c>
      <c r="D595" s="48" t="s">
        <v>1805</v>
      </c>
      <c r="E595" s="33" t="s">
        <v>1806</v>
      </c>
      <c r="F595" s="48" t="s">
        <v>1287</v>
      </c>
      <c r="G595" s="79">
        <v>2017.0</v>
      </c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51.0" customHeight="1">
      <c r="A596" s="83" t="s">
        <v>1807</v>
      </c>
      <c r="B596" s="74" t="s">
        <v>1808</v>
      </c>
      <c r="C596" s="71" t="s">
        <v>61</v>
      </c>
      <c r="D596" s="71" t="s">
        <v>1809</v>
      </c>
      <c r="E596" s="71" t="s">
        <v>1810</v>
      </c>
      <c r="F596" s="71" t="s">
        <v>1798</v>
      </c>
      <c r="G596" s="76">
        <v>2017.0</v>
      </c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51.0" customHeight="1">
      <c r="A597" s="78" t="s">
        <v>1811</v>
      </c>
      <c r="B597" s="73" t="s">
        <v>1812</v>
      </c>
      <c r="C597" s="48" t="s">
        <v>252</v>
      </c>
      <c r="D597" s="48" t="s">
        <v>1813</v>
      </c>
      <c r="E597" s="33" t="s">
        <v>1814</v>
      </c>
      <c r="F597" s="48" t="s">
        <v>1185</v>
      </c>
      <c r="G597" s="79">
        <v>2017.0</v>
      </c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38.25" customHeight="1">
      <c r="A598" s="41" t="s">
        <v>1815</v>
      </c>
      <c r="B598" s="64" t="s">
        <v>1816</v>
      </c>
      <c r="C598" s="71" t="s">
        <v>573</v>
      </c>
      <c r="D598" s="71" t="s">
        <v>1817</v>
      </c>
      <c r="E598" s="71" t="s">
        <v>1818</v>
      </c>
      <c r="F598" s="71" t="s">
        <v>26</v>
      </c>
      <c r="G598" s="76">
        <v>2017.0</v>
      </c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38.25" customHeight="1">
      <c r="A599" s="78" t="s">
        <v>1819</v>
      </c>
      <c r="B599" s="73" t="s">
        <v>1820</v>
      </c>
      <c r="C599" s="48" t="s">
        <v>252</v>
      </c>
      <c r="D599" s="48" t="s">
        <v>1821</v>
      </c>
      <c r="E599" s="33" t="s">
        <v>1822</v>
      </c>
      <c r="F599" s="48" t="s">
        <v>1466</v>
      </c>
      <c r="G599" s="79">
        <v>2017.0</v>
      </c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51.0" customHeight="1">
      <c r="A600" s="41" t="s">
        <v>1823</v>
      </c>
      <c r="B600" s="64" t="s">
        <v>1824</v>
      </c>
      <c r="C600" s="71" t="s">
        <v>1825</v>
      </c>
      <c r="D600" s="71" t="s">
        <v>1826</v>
      </c>
      <c r="E600" s="71" t="s">
        <v>1827</v>
      </c>
      <c r="F600" s="71" t="s">
        <v>114</v>
      </c>
      <c r="G600" s="76">
        <v>2017.0</v>
      </c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38.25" customHeight="1">
      <c r="A601" s="78" t="s">
        <v>1828</v>
      </c>
      <c r="B601" s="73" t="s">
        <v>1829</v>
      </c>
      <c r="C601" s="48" t="s">
        <v>338</v>
      </c>
      <c r="D601" s="48" t="s">
        <v>1830</v>
      </c>
      <c r="E601" s="33" t="s">
        <v>1831</v>
      </c>
      <c r="F601" s="48" t="s">
        <v>1185</v>
      </c>
      <c r="G601" s="79">
        <v>2017.0</v>
      </c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51.0" customHeight="1">
      <c r="A602" s="41" t="s">
        <v>1832</v>
      </c>
      <c r="B602" s="74" t="s">
        <v>1833</v>
      </c>
      <c r="C602" s="71" t="s">
        <v>43</v>
      </c>
      <c r="D602" s="71" t="s">
        <v>1834</v>
      </c>
      <c r="E602" s="71" t="s">
        <v>1835</v>
      </c>
      <c r="F602" s="71" t="s">
        <v>1737</v>
      </c>
      <c r="G602" s="76">
        <v>2017.0</v>
      </c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61.5" customHeight="1">
      <c r="A603" s="78" t="s">
        <v>1836</v>
      </c>
      <c r="B603" s="70" t="s">
        <v>1837</v>
      </c>
      <c r="C603" s="48" t="s">
        <v>1838</v>
      </c>
      <c r="D603" s="48" t="s">
        <v>1839</v>
      </c>
      <c r="E603" s="33" t="s">
        <v>1840</v>
      </c>
      <c r="F603" s="48" t="s">
        <v>180</v>
      </c>
      <c r="G603" s="79">
        <v>2018.0</v>
      </c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51.0" customHeight="1">
      <c r="A604" s="41" t="s">
        <v>1841</v>
      </c>
      <c r="B604" s="74" t="s">
        <v>1842</v>
      </c>
      <c r="C604" s="71" t="s">
        <v>33</v>
      </c>
      <c r="D604" s="71" t="s">
        <v>1843</v>
      </c>
      <c r="E604" s="71" t="s">
        <v>1844</v>
      </c>
      <c r="F604" s="71" t="s">
        <v>1845</v>
      </c>
      <c r="G604" s="76">
        <v>2017.0</v>
      </c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38.25" customHeight="1">
      <c r="A605" s="78" t="s">
        <v>1846</v>
      </c>
      <c r="B605" s="73" t="s">
        <v>1847</v>
      </c>
      <c r="C605" s="48" t="s">
        <v>814</v>
      </c>
      <c r="D605" s="48" t="s">
        <v>1848</v>
      </c>
      <c r="E605" s="33" t="s">
        <v>1849</v>
      </c>
      <c r="F605" s="48" t="s">
        <v>147</v>
      </c>
      <c r="G605" s="79">
        <v>2018.0</v>
      </c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38.25" customHeight="1">
      <c r="A606" s="41" t="s">
        <v>1850</v>
      </c>
      <c r="B606" s="74" t="s">
        <v>1851</v>
      </c>
      <c r="C606" s="71" t="s">
        <v>311</v>
      </c>
      <c r="D606" s="71" t="s">
        <v>1852</v>
      </c>
      <c r="E606" s="71" t="s">
        <v>1853</v>
      </c>
      <c r="F606" s="71" t="s">
        <v>180</v>
      </c>
      <c r="G606" s="76">
        <v>2018.0</v>
      </c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51.0" customHeight="1">
      <c r="A607" s="78" t="s">
        <v>1854</v>
      </c>
      <c r="B607" s="73" t="s">
        <v>1855</v>
      </c>
      <c r="C607" s="48" t="s">
        <v>674</v>
      </c>
      <c r="D607" s="48" t="s">
        <v>1856</v>
      </c>
      <c r="E607" s="33" t="s">
        <v>1857</v>
      </c>
      <c r="F607" s="48" t="s">
        <v>180</v>
      </c>
      <c r="G607" s="79">
        <v>2018.0</v>
      </c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38.25" customHeight="1">
      <c r="A608" s="41" t="s">
        <v>1858</v>
      </c>
      <c r="B608" s="74" t="s">
        <v>1859</v>
      </c>
      <c r="C608" s="71" t="s">
        <v>1860</v>
      </c>
      <c r="D608" s="71" t="s">
        <v>1861</v>
      </c>
      <c r="E608" s="71" t="s">
        <v>1862</v>
      </c>
      <c r="F608" s="71" t="s">
        <v>232</v>
      </c>
      <c r="G608" s="76">
        <v>2018.0</v>
      </c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38.25" customHeight="1">
      <c r="A609" s="78" t="s">
        <v>1863</v>
      </c>
      <c r="B609" s="73" t="s">
        <v>1864</v>
      </c>
      <c r="C609" s="48" t="s">
        <v>1865</v>
      </c>
      <c r="D609" s="48" t="s">
        <v>1866</v>
      </c>
      <c r="E609" s="33" t="s">
        <v>1867</v>
      </c>
      <c r="F609" s="48" t="s">
        <v>685</v>
      </c>
      <c r="G609" s="79">
        <v>2017.0</v>
      </c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38.25" customHeight="1">
      <c r="A610" s="41" t="s">
        <v>1868</v>
      </c>
      <c r="B610" s="64" t="s">
        <v>1869</v>
      </c>
      <c r="C610" s="71" t="s">
        <v>1870</v>
      </c>
      <c r="D610" s="71" t="s">
        <v>1871</v>
      </c>
      <c r="E610" s="71" t="s">
        <v>1872</v>
      </c>
      <c r="F610" s="71" t="s">
        <v>620</v>
      </c>
      <c r="G610" s="76">
        <v>2018.0</v>
      </c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38.25" customHeight="1">
      <c r="A611" s="78" t="s">
        <v>1873</v>
      </c>
      <c r="B611" s="73" t="s">
        <v>1874</v>
      </c>
      <c r="C611" s="48" t="s">
        <v>1875</v>
      </c>
      <c r="D611" s="48" t="s">
        <v>1876</v>
      </c>
      <c r="E611" s="33" t="s">
        <v>1877</v>
      </c>
      <c r="F611" s="48" t="s">
        <v>1878</v>
      </c>
      <c r="G611" s="79">
        <v>2017.0</v>
      </c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38.25" customHeight="1">
      <c r="A612" s="41" t="s">
        <v>1879</v>
      </c>
      <c r="B612" s="61" t="s">
        <v>1880</v>
      </c>
      <c r="C612" s="71" t="s">
        <v>1881</v>
      </c>
      <c r="D612" s="71" t="s">
        <v>1882</v>
      </c>
      <c r="E612" s="71" t="s">
        <v>1883</v>
      </c>
      <c r="F612" s="71" t="s">
        <v>620</v>
      </c>
      <c r="G612" s="76">
        <v>2017.0</v>
      </c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51.0" customHeight="1">
      <c r="A613" s="78" t="s">
        <v>1884</v>
      </c>
      <c r="B613" s="63" t="s">
        <v>1885</v>
      </c>
      <c r="C613" s="48" t="s">
        <v>1886</v>
      </c>
      <c r="D613" s="48" t="s">
        <v>1887</v>
      </c>
      <c r="E613" s="33" t="s">
        <v>1888</v>
      </c>
      <c r="F613" s="48" t="s">
        <v>1287</v>
      </c>
      <c r="G613" s="79">
        <v>2018.0</v>
      </c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51.0" customHeight="1">
      <c r="A614" s="41" t="s">
        <v>1889</v>
      </c>
      <c r="B614" s="61" t="s">
        <v>1890</v>
      </c>
      <c r="C614" s="71" t="s">
        <v>1891</v>
      </c>
      <c r="D614" s="71" t="s">
        <v>1892</v>
      </c>
      <c r="E614" s="71" t="s">
        <v>1893</v>
      </c>
      <c r="F614" s="71" t="s">
        <v>180</v>
      </c>
      <c r="G614" s="76">
        <v>2018.0</v>
      </c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38.25" customHeight="1">
      <c r="A615" s="78" t="s">
        <v>1894</v>
      </c>
      <c r="B615" s="63" t="s">
        <v>1895</v>
      </c>
      <c r="C615" s="48" t="s">
        <v>13</v>
      </c>
      <c r="D615" s="48" t="s">
        <v>1896</v>
      </c>
      <c r="E615" s="33" t="s">
        <v>1897</v>
      </c>
      <c r="F615" s="48" t="s">
        <v>1898</v>
      </c>
      <c r="G615" s="79">
        <v>2017.0</v>
      </c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51.0" customHeight="1">
      <c r="A616" s="41" t="s">
        <v>1899</v>
      </c>
      <c r="B616" s="64" t="s">
        <v>1900</v>
      </c>
      <c r="C616" s="71" t="s">
        <v>1901</v>
      </c>
      <c r="D616" s="71" t="s">
        <v>1902</v>
      </c>
      <c r="E616" s="71" t="s">
        <v>1903</v>
      </c>
      <c r="F616" s="71" t="s">
        <v>1898</v>
      </c>
      <c r="G616" s="76">
        <v>2017.0</v>
      </c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51.0" customHeight="1">
      <c r="A617" s="78" t="s">
        <v>1904</v>
      </c>
      <c r="B617" s="63" t="s">
        <v>1905</v>
      </c>
      <c r="C617" s="48" t="s">
        <v>674</v>
      </c>
      <c r="D617" s="48" t="s">
        <v>1906</v>
      </c>
      <c r="E617" s="33" t="s">
        <v>1907</v>
      </c>
      <c r="F617" s="48" t="s">
        <v>41</v>
      </c>
      <c r="G617" s="79">
        <v>2018.0</v>
      </c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38.25" customHeight="1">
      <c r="A618" s="41" t="s">
        <v>1908</v>
      </c>
      <c r="B618" s="64" t="s">
        <v>1909</v>
      </c>
      <c r="C618" s="71" t="s">
        <v>61</v>
      </c>
      <c r="D618" s="71" t="s">
        <v>1910</v>
      </c>
      <c r="E618" s="71" t="s">
        <v>1911</v>
      </c>
      <c r="F618" s="71" t="s">
        <v>1912</v>
      </c>
      <c r="G618" s="76">
        <v>2018.0</v>
      </c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38.25" customHeight="1">
      <c r="A619" s="78" t="s">
        <v>1913</v>
      </c>
      <c r="B619" s="63" t="s">
        <v>1914</v>
      </c>
      <c r="C619" s="48" t="s">
        <v>43</v>
      </c>
      <c r="D619" s="48" t="s">
        <v>1915</v>
      </c>
      <c r="E619" s="33" t="s">
        <v>1916</v>
      </c>
      <c r="F619" s="48" t="s">
        <v>335</v>
      </c>
      <c r="G619" s="79">
        <v>2018.0</v>
      </c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76.5" customHeight="1">
      <c r="A620" s="41" t="s">
        <v>1917</v>
      </c>
      <c r="B620" s="64" t="s">
        <v>1918</v>
      </c>
      <c r="C620" s="71" t="s">
        <v>1919</v>
      </c>
      <c r="D620" s="71" t="s">
        <v>1920</v>
      </c>
      <c r="E620" s="71" t="s">
        <v>1921</v>
      </c>
      <c r="F620" s="71" t="s">
        <v>184</v>
      </c>
      <c r="G620" s="76">
        <v>2017.0</v>
      </c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51.0" customHeight="1">
      <c r="A621" s="78" t="s">
        <v>1922</v>
      </c>
      <c r="B621" s="63" t="s">
        <v>1923</v>
      </c>
      <c r="C621" s="48" t="s">
        <v>1764</v>
      </c>
      <c r="D621" s="48" t="s">
        <v>1924</v>
      </c>
      <c r="E621" s="33" t="s">
        <v>1925</v>
      </c>
      <c r="F621" s="48" t="s">
        <v>620</v>
      </c>
      <c r="G621" s="79">
        <v>2018.0</v>
      </c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51.0" customHeight="1">
      <c r="A622" s="41" t="s">
        <v>1926</v>
      </c>
      <c r="B622" s="64" t="s">
        <v>1927</v>
      </c>
      <c r="C622" s="71" t="s">
        <v>23</v>
      </c>
      <c r="D622" s="71" t="s">
        <v>1928</v>
      </c>
      <c r="E622" s="71" t="s">
        <v>1929</v>
      </c>
      <c r="F622" s="71" t="s">
        <v>184</v>
      </c>
      <c r="G622" s="76">
        <v>2018.0</v>
      </c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38.25" customHeight="1">
      <c r="A623" s="78" t="s">
        <v>1930</v>
      </c>
      <c r="B623" s="63" t="s">
        <v>1931</v>
      </c>
      <c r="C623" s="48" t="s">
        <v>1631</v>
      </c>
      <c r="D623" s="48" t="s">
        <v>1932</v>
      </c>
      <c r="E623" s="33" t="s">
        <v>1933</v>
      </c>
      <c r="F623" s="48" t="s">
        <v>184</v>
      </c>
      <c r="G623" s="79">
        <v>2018.0</v>
      </c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51.0" customHeight="1">
      <c r="A624" s="41" t="s">
        <v>1934</v>
      </c>
      <c r="B624" s="64" t="s">
        <v>1935</v>
      </c>
      <c r="C624" s="71" t="s">
        <v>1661</v>
      </c>
      <c r="D624" s="71" t="s">
        <v>1936</v>
      </c>
      <c r="E624" s="71" t="s">
        <v>1937</v>
      </c>
      <c r="F624" s="71" t="s">
        <v>1938</v>
      </c>
      <c r="G624" s="76">
        <v>2018.0</v>
      </c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39.0" customHeight="1">
      <c r="A625" s="78" t="s">
        <v>1939</v>
      </c>
      <c r="B625" s="73" t="s">
        <v>1940</v>
      </c>
      <c r="C625" s="48" t="s">
        <v>1800</v>
      </c>
      <c r="D625" s="48" t="s">
        <v>1941</v>
      </c>
      <c r="E625" s="33" t="s">
        <v>1942</v>
      </c>
      <c r="F625" s="48" t="s">
        <v>180</v>
      </c>
      <c r="G625" s="79">
        <v>2018.0</v>
      </c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38.25" customHeight="1">
      <c r="A626" s="41" t="s">
        <v>1943</v>
      </c>
      <c r="B626" s="64" t="s">
        <v>1944</v>
      </c>
      <c r="C626" s="71" t="s">
        <v>195</v>
      </c>
      <c r="D626" s="71" t="s">
        <v>1945</v>
      </c>
      <c r="E626" s="71" t="s">
        <v>1946</v>
      </c>
      <c r="F626" s="71" t="s">
        <v>1947</v>
      </c>
      <c r="G626" s="76">
        <v>2017.0</v>
      </c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42.0" customHeight="1">
      <c r="A627" s="78" t="s">
        <v>1948</v>
      </c>
      <c r="B627" s="63" t="s">
        <v>1949</v>
      </c>
      <c r="C627" s="48" t="s">
        <v>1950</v>
      </c>
      <c r="D627" s="48" t="s">
        <v>1951</v>
      </c>
      <c r="E627" s="33" t="s">
        <v>1952</v>
      </c>
      <c r="F627" s="48" t="s">
        <v>335</v>
      </c>
      <c r="G627" s="79">
        <v>2018.0</v>
      </c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63.75" customHeight="1">
      <c r="A628" s="41" t="s">
        <v>1953</v>
      </c>
      <c r="B628" s="74" t="s">
        <v>1954</v>
      </c>
      <c r="C628" s="71" t="s">
        <v>61</v>
      </c>
      <c r="D628" s="71" t="s">
        <v>1955</v>
      </c>
      <c r="E628" s="71" t="s">
        <v>1956</v>
      </c>
      <c r="F628" s="71" t="s">
        <v>1957</v>
      </c>
      <c r="G628" s="76">
        <v>2018.0</v>
      </c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38.25" customHeight="1">
      <c r="A629" s="78" t="s">
        <v>1958</v>
      </c>
      <c r="B629" s="73" t="s">
        <v>1959</v>
      </c>
      <c r="C629" s="48" t="s">
        <v>111</v>
      </c>
      <c r="D629" s="48" t="s">
        <v>1960</v>
      </c>
      <c r="E629" s="33" t="s">
        <v>1961</v>
      </c>
      <c r="F629" s="48" t="s">
        <v>1938</v>
      </c>
      <c r="G629" s="79">
        <v>2018.0</v>
      </c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51.0" customHeight="1">
      <c r="A630" s="41" t="s">
        <v>1962</v>
      </c>
      <c r="B630" s="64" t="s">
        <v>1963</v>
      </c>
      <c r="C630" s="71" t="s">
        <v>96</v>
      </c>
      <c r="D630" s="71" t="s">
        <v>1964</v>
      </c>
      <c r="E630" s="71" t="s">
        <v>1965</v>
      </c>
      <c r="F630" s="71" t="s">
        <v>184</v>
      </c>
      <c r="G630" s="76">
        <v>2018.0</v>
      </c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51.0" customHeight="1">
      <c r="A631" s="78" t="s">
        <v>1966</v>
      </c>
      <c r="B631" s="63" t="s">
        <v>1967</v>
      </c>
      <c r="C631" s="48" t="s">
        <v>1950</v>
      </c>
      <c r="D631" s="48" t="s">
        <v>1968</v>
      </c>
      <c r="E631" s="33" t="s">
        <v>1969</v>
      </c>
      <c r="F631" s="48" t="s">
        <v>1970</v>
      </c>
      <c r="G631" s="79">
        <v>2018.0</v>
      </c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51.0" customHeight="1">
      <c r="A632" s="41" t="s">
        <v>1971</v>
      </c>
      <c r="B632" s="64" t="s">
        <v>1972</v>
      </c>
      <c r="C632" s="71" t="s">
        <v>1973</v>
      </c>
      <c r="D632" s="71" t="s">
        <v>1974</v>
      </c>
      <c r="E632" s="71" t="s">
        <v>1975</v>
      </c>
      <c r="F632" s="71" t="s">
        <v>1466</v>
      </c>
      <c r="G632" s="76">
        <v>2017.0</v>
      </c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39.0" customHeight="1">
      <c r="A633" s="78" t="s">
        <v>1976</v>
      </c>
      <c r="B633" s="63" t="s">
        <v>1977</v>
      </c>
      <c r="C633" s="48" t="s">
        <v>338</v>
      </c>
      <c r="D633" s="48" t="s">
        <v>1978</v>
      </c>
      <c r="E633" s="33" t="s">
        <v>1979</v>
      </c>
      <c r="F633" s="48" t="s">
        <v>335</v>
      </c>
      <c r="G633" s="79">
        <v>2018.0</v>
      </c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39.0" customHeight="1">
      <c r="A634" s="41" t="s">
        <v>1980</v>
      </c>
      <c r="B634" s="84" t="s">
        <v>1981</v>
      </c>
      <c r="C634" s="71" t="s">
        <v>1982</v>
      </c>
      <c r="D634" s="71" t="s">
        <v>1983</v>
      </c>
      <c r="E634" s="71" t="s">
        <v>1984</v>
      </c>
      <c r="F634" s="71" t="s">
        <v>620</v>
      </c>
      <c r="G634" s="76">
        <v>2017.0</v>
      </c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28.5" customHeight="1">
      <c r="A635" s="78" t="s">
        <v>1985</v>
      </c>
      <c r="B635" s="63" t="s">
        <v>1986</v>
      </c>
      <c r="C635" s="48" t="s">
        <v>1825</v>
      </c>
      <c r="D635" s="48" t="s">
        <v>1987</v>
      </c>
      <c r="E635" s="33" t="s">
        <v>1988</v>
      </c>
      <c r="F635" s="48" t="s">
        <v>685</v>
      </c>
      <c r="G635" s="79">
        <v>2018.0</v>
      </c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38.25" customHeight="1">
      <c r="A636" s="41" t="s">
        <v>1989</v>
      </c>
      <c r="B636" s="84" t="s">
        <v>1990</v>
      </c>
      <c r="C636" s="71" t="s">
        <v>1982</v>
      </c>
      <c r="D636" s="71" t="s">
        <v>1991</v>
      </c>
      <c r="E636" s="71" t="s">
        <v>1992</v>
      </c>
      <c r="F636" s="71" t="s">
        <v>16</v>
      </c>
      <c r="G636" s="76">
        <v>2018.0</v>
      </c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51.0" customHeight="1">
      <c r="A637" s="78" t="s">
        <v>1993</v>
      </c>
      <c r="B637" s="63" t="s">
        <v>1994</v>
      </c>
      <c r="C637" s="85" t="s">
        <v>301</v>
      </c>
      <c r="D637" s="48" t="s">
        <v>1995</v>
      </c>
      <c r="E637" s="33" t="s">
        <v>1996</v>
      </c>
      <c r="F637" s="48" t="s">
        <v>180</v>
      </c>
      <c r="G637" s="79">
        <v>2018.0</v>
      </c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38.25" customHeight="1">
      <c r="A638" s="25" t="s">
        <v>1997</v>
      </c>
      <c r="B638" s="84" t="s">
        <v>1998</v>
      </c>
      <c r="C638" s="71" t="s">
        <v>573</v>
      </c>
      <c r="D638" s="71" t="s">
        <v>1999</v>
      </c>
      <c r="E638" s="71" t="s">
        <v>2000</v>
      </c>
      <c r="F638" s="71" t="s">
        <v>2001</v>
      </c>
      <c r="G638" s="76">
        <v>2018.0</v>
      </c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38.25" customHeight="1">
      <c r="A639" s="78" t="s">
        <v>2002</v>
      </c>
      <c r="B639" s="63" t="s">
        <v>2003</v>
      </c>
      <c r="C639" s="48" t="s">
        <v>573</v>
      </c>
      <c r="D639" s="48" t="s">
        <v>2004</v>
      </c>
      <c r="E639" s="33" t="s">
        <v>2005</v>
      </c>
      <c r="F639" s="48" t="s">
        <v>184</v>
      </c>
      <c r="G639" s="79">
        <v>2018.0</v>
      </c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38.25" customHeight="1">
      <c r="A640" s="25" t="s">
        <v>2006</v>
      </c>
      <c r="B640" s="84" t="s">
        <v>2007</v>
      </c>
      <c r="C640" s="71" t="s">
        <v>111</v>
      </c>
      <c r="D640" s="71" t="s">
        <v>2008</v>
      </c>
      <c r="E640" s="71" t="s">
        <v>2009</v>
      </c>
      <c r="F640" s="71" t="s">
        <v>184</v>
      </c>
      <c r="G640" s="76">
        <v>2018.0</v>
      </c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38.25" customHeight="1">
      <c r="A641" s="78" t="s">
        <v>2010</v>
      </c>
      <c r="B641" s="63" t="s">
        <v>2011</v>
      </c>
      <c r="C641" s="48" t="s">
        <v>1764</v>
      </c>
      <c r="D641" s="48" t="s">
        <v>2012</v>
      </c>
      <c r="E641" s="33" t="s">
        <v>2013</v>
      </c>
      <c r="F641" s="48" t="s">
        <v>685</v>
      </c>
      <c r="G641" s="79">
        <v>2018.0</v>
      </c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51.0" customHeight="1">
      <c r="A642" s="25" t="s">
        <v>2014</v>
      </c>
      <c r="B642" s="74" t="s">
        <v>2015</v>
      </c>
      <c r="C642" s="71" t="s">
        <v>347</v>
      </c>
      <c r="D642" s="71" t="s">
        <v>2016</v>
      </c>
      <c r="E642" s="71" t="s">
        <v>2017</v>
      </c>
      <c r="F642" s="71" t="s">
        <v>180</v>
      </c>
      <c r="G642" s="76">
        <v>2018.0</v>
      </c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38.25" customHeight="1">
      <c r="A643" s="78" t="s">
        <v>2018</v>
      </c>
      <c r="B643" s="73" t="s">
        <v>2019</v>
      </c>
      <c r="C643" s="48" t="s">
        <v>2020</v>
      </c>
      <c r="D643" s="48" t="s">
        <v>2021</v>
      </c>
      <c r="E643" s="33" t="s">
        <v>2022</v>
      </c>
      <c r="F643" s="48" t="s">
        <v>114</v>
      </c>
      <c r="G643" s="79">
        <v>2018.0</v>
      </c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38.25" customHeight="1">
      <c r="A644" s="25" t="s">
        <v>2023</v>
      </c>
      <c r="B644" s="84" t="s">
        <v>2024</v>
      </c>
      <c r="C644" s="71" t="s">
        <v>2025</v>
      </c>
      <c r="D644" s="71" t="s">
        <v>2026</v>
      </c>
      <c r="E644" s="71" t="s">
        <v>2027</v>
      </c>
      <c r="F644" s="71" t="s">
        <v>1737</v>
      </c>
      <c r="G644" s="76">
        <v>2018.0</v>
      </c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30.75" customHeight="1">
      <c r="A645" s="78" t="s">
        <v>2028</v>
      </c>
      <c r="B645" s="63" t="s">
        <v>2029</v>
      </c>
      <c r="C645" s="85" t="s">
        <v>2030</v>
      </c>
      <c r="D645" s="48" t="s">
        <v>2031</v>
      </c>
      <c r="E645" s="33" t="s">
        <v>2032</v>
      </c>
      <c r="F645" s="48" t="s">
        <v>105</v>
      </c>
      <c r="G645" s="79">
        <v>2018.0</v>
      </c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36.0" customHeight="1">
      <c r="A646" s="25" t="s">
        <v>2033</v>
      </c>
      <c r="B646" s="61" t="s">
        <v>2034</v>
      </c>
      <c r="C646" s="71" t="s">
        <v>814</v>
      </c>
      <c r="D646" s="71" t="s">
        <v>2035</v>
      </c>
      <c r="E646" s="71" t="s">
        <v>2036</v>
      </c>
      <c r="F646" s="71" t="s">
        <v>779</v>
      </c>
      <c r="G646" s="76">
        <v>2018.0</v>
      </c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63.75" customHeight="1">
      <c r="A647" s="86" t="s">
        <v>2037</v>
      </c>
      <c r="B647" s="63" t="s">
        <v>2038</v>
      </c>
      <c r="C647" s="48" t="s">
        <v>410</v>
      </c>
      <c r="D647" s="48" t="s">
        <v>2039</v>
      </c>
      <c r="E647" s="33" t="s">
        <v>2040</v>
      </c>
      <c r="F647" s="48" t="s">
        <v>1466</v>
      </c>
      <c r="G647" s="79">
        <v>2018.0</v>
      </c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63.75" customHeight="1">
      <c r="A648" s="83" t="s">
        <v>2041</v>
      </c>
      <c r="B648" s="61" t="s">
        <v>2042</v>
      </c>
      <c r="C648" s="87" t="s">
        <v>2043</v>
      </c>
      <c r="D648" s="71" t="s">
        <v>2044</v>
      </c>
      <c r="E648" s="71" t="s">
        <v>2045</v>
      </c>
      <c r="F648" s="87" t="s">
        <v>88</v>
      </c>
      <c r="G648" s="76">
        <v>2018.0</v>
      </c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8"/>
      <c r="T648" s="8"/>
      <c r="U648" s="8"/>
      <c r="V648" s="8"/>
      <c r="W648" s="8"/>
      <c r="X648" s="8"/>
      <c r="Y648" s="8"/>
      <c r="Z648" s="8"/>
    </row>
    <row r="649" ht="51.0" customHeight="1">
      <c r="A649" s="86" t="s">
        <v>2046</v>
      </c>
      <c r="B649" s="63" t="s">
        <v>2047</v>
      </c>
      <c r="C649" s="48" t="s">
        <v>1919</v>
      </c>
      <c r="D649" s="48" t="s">
        <v>2048</v>
      </c>
      <c r="E649" s="33" t="s">
        <v>2049</v>
      </c>
      <c r="F649" s="48" t="s">
        <v>1466</v>
      </c>
      <c r="G649" s="79">
        <v>2018.0</v>
      </c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51.0" customHeight="1">
      <c r="A650" s="83" t="s">
        <v>2050</v>
      </c>
      <c r="B650" s="61" t="s">
        <v>2051</v>
      </c>
      <c r="C650" s="87" t="s">
        <v>674</v>
      </c>
      <c r="D650" s="87" t="s">
        <v>2052</v>
      </c>
      <c r="E650" s="71" t="s">
        <v>2053</v>
      </c>
      <c r="F650" s="87" t="s">
        <v>88</v>
      </c>
      <c r="G650" s="76">
        <v>2018.0</v>
      </c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8"/>
      <c r="T650" s="8"/>
      <c r="U650" s="8"/>
      <c r="V650" s="8"/>
      <c r="W650" s="8"/>
      <c r="X650" s="8"/>
      <c r="Y650" s="8"/>
      <c r="Z650" s="8"/>
    </row>
    <row r="651" ht="38.25" customHeight="1">
      <c r="A651" s="86" t="s">
        <v>2054</v>
      </c>
      <c r="B651" s="63" t="s">
        <v>2055</v>
      </c>
      <c r="C651" s="48" t="s">
        <v>2056</v>
      </c>
      <c r="D651" s="48" t="s">
        <v>2057</v>
      </c>
      <c r="E651" s="33" t="s">
        <v>2058</v>
      </c>
      <c r="F651" s="48" t="s">
        <v>576</v>
      </c>
      <c r="G651" s="79">
        <v>2018.0</v>
      </c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38.25" customHeight="1">
      <c r="A652" s="83" t="s">
        <v>2059</v>
      </c>
      <c r="B652" s="84" t="s">
        <v>2060</v>
      </c>
      <c r="C652" s="87" t="s">
        <v>43</v>
      </c>
      <c r="D652" s="87" t="s">
        <v>2061</v>
      </c>
      <c r="E652" s="71" t="s">
        <v>2062</v>
      </c>
      <c r="F652" s="87" t="s">
        <v>335</v>
      </c>
      <c r="G652" s="76">
        <v>2018.0</v>
      </c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8"/>
      <c r="T652" s="8"/>
      <c r="U652" s="8"/>
      <c r="V652" s="8"/>
      <c r="W652" s="8"/>
      <c r="X652" s="8"/>
      <c r="Y652" s="8"/>
      <c r="Z652" s="8"/>
    </row>
    <row r="653" ht="51.0" customHeight="1">
      <c r="A653" s="86" t="s">
        <v>2063</v>
      </c>
      <c r="B653" s="73" t="s">
        <v>2064</v>
      </c>
      <c r="C653" s="48" t="s">
        <v>252</v>
      </c>
      <c r="D653" s="48" t="s">
        <v>2065</v>
      </c>
      <c r="E653" s="33" t="s">
        <v>2066</v>
      </c>
      <c r="F653" s="48" t="s">
        <v>947</v>
      </c>
      <c r="G653" s="79">
        <v>2018.0</v>
      </c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51.0" customHeight="1">
      <c r="A654" s="83" t="s">
        <v>2067</v>
      </c>
      <c r="B654" s="74" t="s">
        <v>2068</v>
      </c>
      <c r="C654" s="87" t="s">
        <v>23</v>
      </c>
      <c r="D654" s="87" t="s">
        <v>2069</v>
      </c>
      <c r="E654" s="71" t="s">
        <v>2070</v>
      </c>
      <c r="F654" s="87" t="s">
        <v>1287</v>
      </c>
      <c r="G654" s="76">
        <v>2018.0</v>
      </c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8"/>
      <c r="T654" s="8"/>
      <c r="U654" s="8"/>
      <c r="V654" s="8"/>
      <c r="W654" s="8"/>
      <c r="X654" s="8"/>
      <c r="Y654" s="8"/>
      <c r="Z654" s="8"/>
    </row>
    <row r="655" ht="38.25" customHeight="1">
      <c r="A655" s="86" t="s">
        <v>2071</v>
      </c>
      <c r="B655" s="73" t="s">
        <v>2072</v>
      </c>
      <c r="C655" s="48" t="s">
        <v>2073</v>
      </c>
      <c r="D655" s="48" t="s">
        <v>2074</v>
      </c>
      <c r="E655" s="33" t="s">
        <v>2075</v>
      </c>
      <c r="F655" s="48" t="s">
        <v>184</v>
      </c>
      <c r="G655" s="79">
        <v>2018.0</v>
      </c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38.25" customHeight="1">
      <c r="A656" s="83" t="s">
        <v>2076</v>
      </c>
      <c r="B656" s="74" t="s">
        <v>2077</v>
      </c>
      <c r="C656" s="87" t="s">
        <v>2078</v>
      </c>
      <c r="D656" s="87" t="s">
        <v>2079</v>
      </c>
      <c r="E656" s="71" t="s">
        <v>2080</v>
      </c>
      <c r="F656" s="87" t="s">
        <v>1287</v>
      </c>
      <c r="G656" s="76">
        <v>2018.0</v>
      </c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8"/>
      <c r="T656" s="8"/>
      <c r="U656" s="8"/>
      <c r="V656" s="8"/>
      <c r="W656" s="8"/>
      <c r="X656" s="8"/>
      <c r="Y656" s="8"/>
      <c r="Z656" s="8"/>
    </row>
    <row r="657" ht="38.25" customHeight="1">
      <c r="A657" s="86" t="s">
        <v>2081</v>
      </c>
      <c r="B657" s="73" t="s">
        <v>2082</v>
      </c>
      <c r="C657" s="48" t="s">
        <v>2083</v>
      </c>
      <c r="D657" s="48" t="s">
        <v>2084</v>
      </c>
      <c r="E657" s="33" t="s">
        <v>2085</v>
      </c>
      <c r="F657" s="48" t="s">
        <v>1287</v>
      </c>
      <c r="G657" s="79">
        <v>2018.0</v>
      </c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25.5" customHeight="1">
      <c r="A658" s="83" t="s">
        <v>2086</v>
      </c>
      <c r="B658" s="61" t="s">
        <v>2087</v>
      </c>
      <c r="C658" s="87" t="s">
        <v>2088</v>
      </c>
      <c r="D658" s="87" t="s">
        <v>2089</v>
      </c>
      <c r="E658" s="71" t="s">
        <v>2090</v>
      </c>
      <c r="F658" s="87" t="s">
        <v>180</v>
      </c>
      <c r="G658" s="76">
        <v>2018.0</v>
      </c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8"/>
      <c r="T658" s="8"/>
      <c r="U658" s="8"/>
      <c r="V658" s="8"/>
      <c r="W658" s="8"/>
      <c r="X658" s="8"/>
      <c r="Y658" s="8"/>
      <c r="Z658" s="8"/>
    </row>
    <row r="659" ht="38.25" customHeight="1">
      <c r="A659" s="86" t="s">
        <v>2091</v>
      </c>
      <c r="B659" s="73" t="s">
        <v>2092</v>
      </c>
      <c r="C659" s="48" t="s">
        <v>111</v>
      </c>
      <c r="D659" s="48" t="s">
        <v>2093</v>
      </c>
      <c r="E659" s="33" t="s">
        <v>2094</v>
      </c>
      <c r="F659" s="48" t="s">
        <v>88</v>
      </c>
      <c r="G659" s="79">
        <v>2018.0</v>
      </c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38.25" customHeight="1">
      <c r="A660" s="83" t="s">
        <v>2095</v>
      </c>
      <c r="B660" s="74" t="s">
        <v>2096</v>
      </c>
      <c r="C660" s="87" t="s">
        <v>252</v>
      </c>
      <c r="D660" s="87" t="s">
        <v>2097</v>
      </c>
      <c r="E660" s="71" t="s">
        <v>2098</v>
      </c>
      <c r="F660" s="87" t="s">
        <v>685</v>
      </c>
      <c r="G660" s="76">
        <v>2018.0</v>
      </c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8"/>
      <c r="T660" s="8"/>
      <c r="U660" s="8"/>
      <c r="V660" s="8"/>
      <c r="W660" s="8"/>
      <c r="X660" s="8"/>
      <c r="Y660" s="8"/>
      <c r="Z660" s="8"/>
    </row>
    <row r="661" ht="51.0" customHeight="1">
      <c r="A661" s="86" t="s">
        <v>2099</v>
      </c>
      <c r="B661" s="73" t="s">
        <v>2100</v>
      </c>
      <c r="C661" s="48" t="s">
        <v>2101</v>
      </c>
      <c r="D661" s="48" t="s">
        <v>2102</v>
      </c>
      <c r="E661" s="33" t="s">
        <v>2103</v>
      </c>
      <c r="F661" s="48" t="s">
        <v>1466</v>
      </c>
      <c r="G661" s="79">
        <v>2018.0</v>
      </c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51.0" customHeight="1">
      <c r="A662" s="83" t="s">
        <v>2104</v>
      </c>
      <c r="B662" s="84" t="s">
        <v>2105</v>
      </c>
      <c r="C662" s="87" t="s">
        <v>338</v>
      </c>
      <c r="D662" s="87" t="s">
        <v>2106</v>
      </c>
      <c r="E662" s="71" t="s">
        <v>2107</v>
      </c>
      <c r="F662" s="87" t="s">
        <v>1287</v>
      </c>
      <c r="G662" s="76">
        <v>2018.0</v>
      </c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8"/>
      <c r="T662" s="8"/>
      <c r="U662" s="8"/>
      <c r="V662" s="8"/>
      <c r="W662" s="8"/>
      <c r="X662" s="8"/>
      <c r="Y662" s="8"/>
      <c r="Z662" s="8"/>
    </row>
    <row r="663" ht="38.25" customHeight="1">
      <c r="A663" s="86" t="s">
        <v>2108</v>
      </c>
      <c r="B663" s="73" t="s">
        <v>2109</v>
      </c>
      <c r="C663" s="48" t="s">
        <v>573</v>
      </c>
      <c r="D663" s="48" t="s">
        <v>2110</v>
      </c>
      <c r="E663" s="33" t="s">
        <v>2111</v>
      </c>
      <c r="F663" s="48" t="s">
        <v>184</v>
      </c>
      <c r="G663" s="79">
        <v>2018.0</v>
      </c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38.25" customHeight="1">
      <c r="A664" s="83" t="s">
        <v>2112</v>
      </c>
      <c r="B664" s="84" t="s">
        <v>2113</v>
      </c>
      <c r="C664" s="71" t="s">
        <v>2114</v>
      </c>
      <c r="D664" s="87" t="s">
        <v>2115</v>
      </c>
      <c r="E664" s="71" t="s">
        <v>2116</v>
      </c>
      <c r="F664" s="87" t="s">
        <v>1466</v>
      </c>
      <c r="G664" s="76">
        <v>2018.0</v>
      </c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8"/>
      <c r="T664" s="8"/>
      <c r="U664" s="8"/>
      <c r="V664" s="8"/>
      <c r="W664" s="8"/>
      <c r="X664" s="8"/>
      <c r="Y664" s="8"/>
      <c r="Z664" s="8"/>
    </row>
    <row r="665" ht="38.25" customHeight="1">
      <c r="A665" s="86" t="s">
        <v>2117</v>
      </c>
      <c r="B665" s="73" t="s">
        <v>2118</v>
      </c>
      <c r="C665" s="48" t="s">
        <v>1800</v>
      </c>
      <c r="D665" s="48" t="s">
        <v>2119</v>
      </c>
      <c r="E665" s="33" t="s">
        <v>2120</v>
      </c>
      <c r="F665" s="48" t="s">
        <v>180</v>
      </c>
      <c r="G665" s="79">
        <v>2018.0</v>
      </c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51.75" customHeight="1">
      <c r="A666" s="88" t="s">
        <v>2121</v>
      </c>
      <c r="B666" s="89" t="s">
        <v>2122</v>
      </c>
      <c r="C666" s="90" t="s">
        <v>2123</v>
      </c>
      <c r="D666" s="90" t="s">
        <v>2124</v>
      </c>
      <c r="E666" s="90" t="s">
        <v>2125</v>
      </c>
      <c r="F666" s="90" t="s">
        <v>473</v>
      </c>
      <c r="G666" s="91">
        <v>2018.0</v>
      </c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38.25" customHeight="1">
      <c r="A667" s="92">
        <v>43466.0</v>
      </c>
      <c r="B667" s="93" t="s">
        <v>2126</v>
      </c>
      <c r="C667" s="94" t="s">
        <v>669</v>
      </c>
      <c r="D667" s="94" t="s">
        <v>2127</v>
      </c>
      <c r="E667" s="95" t="s">
        <v>2128</v>
      </c>
      <c r="F667" s="94" t="s">
        <v>685</v>
      </c>
      <c r="G667" s="96">
        <v>2019.0</v>
      </c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51.75" customHeight="1">
      <c r="A668" s="97">
        <v>43497.0</v>
      </c>
      <c r="B668" s="98" t="s">
        <v>2129</v>
      </c>
      <c r="C668" s="99" t="s">
        <v>2130</v>
      </c>
      <c r="D668" s="99" t="s">
        <v>2131</v>
      </c>
      <c r="E668" s="99" t="s">
        <v>2132</v>
      </c>
      <c r="F668" s="99" t="s">
        <v>88</v>
      </c>
      <c r="G668" s="100">
        <v>2019.0</v>
      </c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38.25" customHeight="1">
      <c r="A669" s="92">
        <v>43525.0</v>
      </c>
      <c r="B669" s="101" t="s">
        <v>2133</v>
      </c>
      <c r="C669" s="94" t="s">
        <v>1764</v>
      </c>
      <c r="D669" s="94" t="s">
        <v>2134</v>
      </c>
      <c r="E669" s="95" t="s">
        <v>2135</v>
      </c>
      <c r="F669" s="94" t="s">
        <v>861</v>
      </c>
      <c r="G669" s="96">
        <v>20219.0</v>
      </c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51.75" customHeight="1">
      <c r="A670" s="97">
        <v>43556.0</v>
      </c>
      <c r="B670" s="102" t="s">
        <v>2136</v>
      </c>
      <c r="C670" s="99" t="s">
        <v>1121</v>
      </c>
      <c r="D670" s="99" t="s">
        <v>2137</v>
      </c>
      <c r="E670" s="99" t="s">
        <v>2138</v>
      </c>
      <c r="F670" s="99" t="s">
        <v>2139</v>
      </c>
      <c r="G670" s="100">
        <v>2019.0</v>
      </c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38.25" customHeight="1">
      <c r="A671" s="92">
        <v>43586.0</v>
      </c>
      <c r="B671" s="101" t="s">
        <v>2140</v>
      </c>
      <c r="C671" s="94" t="s">
        <v>2030</v>
      </c>
      <c r="D671" s="94" t="s">
        <v>2141</v>
      </c>
      <c r="E671" s="95" t="s">
        <v>2142</v>
      </c>
      <c r="F671" s="94" t="s">
        <v>433</v>
      </c>
      <c r="G671" s="96">
        <v>2019.0</v>
      </c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51.75" customHeight="1">
      <c r="A672" s="97">
        <v>43617.0</v>
      </c>
      <c r="B672" s="102" t="s">
        <v>2143</v>
      </c>
      <c r="C672" s="99" t="s">
        <v>1631</v>
      </c>
      <c r="D672" s="99" t="s">
        <v>2144</v>
      </c>
      <c r="E672" s="99" t="s">
        <v>2145</v>
      </c>
      <c r="F672" s="99" t="s">
        <v>1287</v>
      </c>
      <c r="G672" s="100">
        <v>2019.0</v>
      </c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50.25" customHeight="1">
      <c r="A673" s="92">
        <v>43647.0</v>
      </c>
      <c r="B673" s="93" t="s">
        <v>2146</v>
      </c>
      <c r="C673" s="94" t="s">
        <v>1764</v>
      </c>
      <c r="D673" s="94" t="s">
        <v>2147</v>
      </c>
      <c r="E673" s="95" t="s">
        <v>2148</v>
      </c>
      <c r="F673" s="94" t="s">
        <v>184</v>
      </c>
      <c r="G673" s="96">
        <v>2019.0</v>
      </c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51.75" customHeight="1">
      <c r="A674" s="103">
        <v>43678.0</v>
      </c>
      <c r="B674" s="102" t="s">
        <v>2149</v>
      </c>
      <c r="C674" s="99" t="s">
        <v>747</v>
      </c>
      <c r="D674" s="99" t="s">
        <v>2150</v>
      </c>
      <c r="E674" s="99" t="s">
        <v>2151</v>
      </c>
      <c r="F674" s="99" t="s">
        <v>1287</v>
      </c>
      <c r="G674" s="100">
        <v>2019.0</v>
      </c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48.0" customHeight="1">
      <c r="A675" s="104">
        <v>43709.0</v>
      </c>
      <c r="B675" s="101" t="s">
        <v>2152</v>
      </c>
      <c r="C675" s="94" t="s">
        <v>1764</v>
      </c>
      <c r="D675" s="94" t="s">
        <v>2153</v>
      </c>
      <c r="E675" s="95" t="s">
        <v>2154</v>
      </c>
      <c r="F675" s="94" t="s">
        <v>1287</v>
      </c>
      <c r="G675" s="96">
        <v>2019.0</v>
      </c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51.75" customHeight="1">
      <c r="A676" s="105">
        <v>43739.0</v>
      </c>
      <c r="B676" s="102" t="s">
        <v>2155</v>
      </c>
      <c r="C676" s="99" t="s">
        <v>13</v>
      </c>
      <c r="D676" s="99" t="s">
        <v>2156</v>
      </c>
      <c r="E676" s="99" t="s">
        <v>2157</v>
      </c>
      <c r="F676" s="99" t="s">
        <v>1287</v>
      </c>
      <c r="G676" s="100">
        <v>2019.0</v>
      </c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38.25" customHeight="1">
      <c r="A677" s="106">
        <v>43770.0</v>
      </c>
      <c r="B677" s="101" t="s">
        <v>2158</v>
      </c>
      <c r="C677" s="94" t="s">
        <v>111</v>
      </c>
      <c r="D677" s="94" t="s">
        <v>2159</v>
      </c>
      <c r="E677" s="95" t="s">
        <v>2160</v>
      </c>
      <c r="F677" s="94" t="s">
        <v>473</v>
      </c>
      <c r="G677" s="96">
        <v>2019.0</v>
      </c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51.75" customHeight="1">
      <c r="A678" s="105">
        <v>43800.0</v>
      </c>
      <c r="B678" s="102" t="s">
        <v>2161</v>
      </c>
      <c r="C678" s="99" t="s">
        <v>2162</v>
      </c>
      <c r="D678" s="99" t="s">
        <v>2163</v>
      </c>
      <c r="E678" s="99" t="s">
        <v>2164</v>
      </c>
      <c r="F678" s="99" t="s">
        <v>180</v>
      </c>
      <c r="G678" s="100">
        <v>2019.0</v>
      </c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38.25" customHeight="1">
      <c r="A679" s="107" t="s">
        <v>2165</v>
      </c>
      <c r="B679" s="101" t="s">
        <v>2166</v>
      </c>
      <c r="C679" s="94" t="s">
        <v>2167</v>
      </c>
      <c r="D679" s="94" t="s">
        <v>2168</v>
      </c>
      <c r="E679" s="95" t="s">
        <v>2169</v>
      </c>
      <c r="F679" s="94" t="s">
        <v>2170</v>
      </c>
      <c r="G679" s="96">
        <v>2019.0</v>
      </c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51.75" customHeight="1">
      <c r="A680" s="108" t="s">
        <v>2171</v>
      </c>
      <c r="B680" s="102" t="s">
        <v>2172</v>
      </c>
      <c r="C680" s="99" t="s">
        <v>2173</v>
      </c>
      <c r="D680" s="99" t="s">
        <v>2174</v>
      </c>
      <c r="E680" s="99" t="s">
        <v>2175</v>
      </c>
      <c r="F680" s="99" t="s">
        <v>244</v>
      </c>
      <c r="G680" s="100">
        <v>2019.0</v>
      </c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38.25" customHeight="1">
      <c r="A681" s="107" t="s">
        <v>2176</v>
      </c>
      <c r="B681" s="101" t="s">
        <v>2177</v>
      </c>
      <c r="C681" s="94" t="s">
        <v>2178</v>
      </c>
      <c r="D681" s="94" t="s">
        <v>2179</v>
      </c>
      <c r="E681" s="95" t="s">
        <v>2180</v>
      </c>
      <c r="F681" s="94" t="s">
        <v>180</v>
      </c>
      <c r="G681" s="96">
        <v>2019.0</v>
      </c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51.75" customHeight="1">
      <c r="A682" s="108" t="s">
        <v>2181</v>
      </c>
      <c r="B682" s="102" t="s">
        <v>2182</v>
      </c>
      <c r="C682" s="99" t="s">
        <v>2183</v>
      </c>
      <c r="D682" s="99" t="s">
        <v>2184</v>
      </c>
      <c r="E682" s="99" t="s">
        <v>2185</v>
      </c>
      <c r="F682" s="99" t="s">
        <v>88</v>
      </c>
      <c r="G682" s="100">
        <v>2019.0</v>
      </c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38.25" customHeight="1">
      <c r="A683" s="107" t="s">
        <v>2186</v>
      </c>
      <c r="B683" s="101" t="s">
        <v>2187</v>
      </c>
      <c r="C683" s="48"/>
      <c r="D683" s="94" t="s">
        <v>2188</v>
      </c>
      <c r="E683" s="95" t="s">
        <v>2189</v>
      </c>
      <c r="F683" s="94" t="s">
        <v>1020</v>
      </c>
      <c r="G683" s="96">
        <v>2020.0</v>
      </c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51.75" customHeight="1">
      <c r="A684" s="108" t="s">
        <v>2190</v>
      </c>
      <c r="B684" s="102" t="s">
        <v>2191</v>
      </c>
      <c r="C684" s="99" t="s">
        <v>167</v>
      </c>
      <c r="D684" s="99" t="s">
        <v>2192</v>
      </c>
      <c r="E684" s="99" t="s">
        <v>2193</v>
      </c>
      <c r="F684" s="99" t="s">
        <v>180</v>
      </c>
      <c r="G684" s="100">
        <v>2019.0</v>
      </c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38.25" customHeight="1">
      <c r="A685" s="107" t="s">
        <v>2194</v>
      </c>
      <c r="B685" s="101" t="s">
        <v>2195</v>
      </c>
      <c r="C685" s="94" t="s">
        <v>347</v>
      </c>
      <c r="D685" s="94" t="s">
        <v>2196</v>
      </c>
      <c r="E685" s="95" t="s">
        <v>2197</v>
      </c>
      <c r="F685" s="94" t="s">
        <v>180</v>
      </c>
      <c r="G685" s="96">
        <v>2019.0</v>
      </c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51.75" customHeight="1">
      <c r="A686" s="108" t="s">
        <v>2198</v>
      </c>
      <c r="B686" s="102" t="s">
        <v>2199</v>
      </c>
      <c r="C686" s="99" t="s">
        <v>1875</v>
      </c>
      <c r="D686" s="99" t="s">
        <v>2200</v>
      </c>
      <c r="E686" s="99" t="s">
        <v>2201</v>
      </c>
      <c r="F686" s="99" t="s">
        <v>180</v>
      </c>
      <c r="G686" s="100">
        <v>2019.0</v>
      </c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38.25" customHeight="1">
      <c r="A687" s="107" t="s">
        <v>2202</v>
      </c>
      <c r="B687" s="101" t="s">
        <v>2203</v>
      </c>
      <c r="C687" s="94" t="s">
        <v>1764</v>
      </c>
      <c r="D687" s="94" t="s">
        <v>2204</v>
      </c>
      <c r="E687" s="95" t="s">
        <v>2205</v>
      </c>
      <c r="F687" s="94" t="s">
        <v>685</v>
      </c>
      <c r="G687" s="96">
        <v>2020.0</v>
      </c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51.75" customHeight="1">
      <c r="A688" s="108" t="s">
        <v>2206</v>
      </c>
      <c r="B688" s="102" t="s">
        <v>2207</v>
      </c>
      <c r="C688" s="90"/>
      <c r="D688" s="99" t="s">
        <v>2208</v>
      </c>
      <c r="E688" s="99" t="s">
        <v>2209</v>
      </c>
      <c r="F688" s="99" t="s">
        <v>184</v>
      </c>
      <c r="G688" s="100">
        <v>2020.0</v>
      </c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38.25" customHeight="1">
      <c r="A689" s="107" t="s">
        <v>2210</v>
      </c>
      <c r="B689" s="101" t="s">
        <v>2211</v>
      </c>
      <c r="C689" s="94" t="s">
        <v>2212</v>
      </c>
      <c r="D689" s="94" t="s">
        <v>2213</v>
      </c>
      <c r="E689" s="95" t="s">
        <v>2214</v>
      </c>
      <c r="F689" s="94" t="s">
        <v>1011</v>
      </c>
      <c r="G689" s="96">
        <v>2020.0</v>
      </c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51.75" customHeight="1">
      <c r="A690" s="108" t="s">
        <v>2215</v>
      </c>
      <c r="B690" s="102" t="s">
        <v>2216</v>
      </c>
      <c r="C690" s="99" t="s">
        <v>386</v>
      </c>
      <c r="D690" s="99" t="s">
        <v>2217</v>
      </c>
      <c r="E690" s="99" t="s">
        <v>2218</v>
      </c>
      <c r="F690" s="99" t="s">
        <v>2170</v>
      </c>
      <c r="G690" s="100">
        <v>2020.0</v>
      </c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38.25" customHeight="1">
      <c r="A691" s="107" t="s">
        <v>2219</v>
      </c>
      <c r="B691" s="101" t="s">
        <v>2220</v>
      </c>
      <c r="C691" s="94" t="s">
        <v>96</v>
      </c>
      <c r="D691" s="94" t="s">
        <v>2221</v>
      </c>
      <c r="E691" s="95" t="s">
        <v>2222</v>
      </c>
      <c r="F691" s="94" t="s">
        <v>184</v>
      </c>
      <c r="G691" s="96">
        <v>2020.0</v>
      </c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51.75" customHeight="1">
      <c r="A692" s="108" t="s">
        <v>2223</v>
      </c>
      <c r="B692" s="102" t="s">
        <v>2224</v>
      </c>
      <c r="C692" s="99" t="s">
        <v>301</v>
      </c>
      <c r="D692" s="99" t="s">
        <v>2225</v>
      </c>
      <c r="E692" s="99" t="s">
        <v>2226</v>
      </c>
      <c r="F692" s="99" t="s">
        <v>1083</v>
      </c>
      <c r="G692" s="100">
        <v>2020.0</v>
      </c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38.25" customHeight="1">
      <c r="A693" s="107" t="s">
        <v>2227</v>
      </c>
      <c r="B693" s="101" t="s">
        <v>2228</v>
      </c>
      <c r="C693" s="94" t="s">
        <v>2229</v>
      </c>
      <c r="D693" s="94" t="s">
        <v>2230</v>
      </c>
      <c r="E693" s="95" t="s">
        <v>2231</v>
      </c>
      <c r="F693" s="94" t="s">
        <v>184</v>
      </c>
      <c r="G693" s="96">
        <v>2020.0</v>
      </c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51.75" customHeight="1">
      <c r="A694" s="108" t="s">
        <v>2232</v>
      </c>
      <c r="B694" s="102" t="s">
        <v>2233</v>
      </c>
      <c r="C694" s="90"/>
      <c r="D694" s="99" t="s">
        <v>2234</v>
      </c>
      <c r="E694" s="99" t="s">
        <v>2235</v>
      </c>
      <c r="F694" s="99" t="s">
        <v>105</v>
      </c>
      <c r="G694" s="100">
        <v>2020.0</v>
      </c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38.25" customHeight="1">
      <c r="A695" s="107" t="s">
        <v>2236</v>
      </c>
      <c r="B695" s="101" t="s">
        <v>2237</v>
      </c>
      <c r="C695" s="94" t="s">
        <v>2238</v>
      </c>
      <c r="D695" s="94" t="s">
        <v>2239</v>
      </c>
      <c r="E695" s="95" t="s">
        <v>2240</v>
      </c>
      <c r="F695" s="94" t="s">
        <v>36</v>
      </c>
      <c r="G695" s="96">
        <v>2020.0</v>
      </c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51.75" customHeight="1">
      <c r="A696" s="108" t="s">
        <v>2241</v>
      </c>
      <c r="B696" s="102" t="s">
        <v>2242</v>
      </c>
      <c r="C696" s="99" t="s">
        <v>2243</v>
      </c>
      <c r="D696" s="99" t="s">
        <v>2244</v>
      </c>
      <c r="E696" s="99" t="s">
        <v>2245</v>
      </c>
      <c r="F696" s="99" t="s">
        <v>1020</v>
      </c>
      <c r="G696" s="100">
        <v>2020.0</v>
      </c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38.25" customHeight="1">
      <c r="A697" s="107" t="s">
        <v>2246</v>
      </c>
      <c r="B697" s="101" t="s">
        <v>2247</v>
      </c>
      <c r="C697" s="94" t="s">
        <v>2248</v>
      </c>
      <c r="D697" s="94" t="s">
        <v>2249</v>
      </c>
      <c r="E697" s="95" t="s">
        <v>2250</v>
      </c>
      <c r="F697" s="94" t="s">
        <v>88</v>
      </c>
      <c r="G697" s="96">
        <v>2020.0</v>
      </c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51.75" customHeight="1">
      <c r="A698" s="108" t="s">
        <v>2251</v>
      </c>
      <c r="B698" s="102" t="s">
        <v>2252</v>
      </c>
      <c r="C698" s="90"/>
      <c r="D698" s="99" t="s">
        <v>2253</v>
      </c>
      <c r="E698" s="99" t="s">
        <v>2254</v>
      </c>
      <c r="F698" s="99" t="s">
        <v>41</v>
      </c>
      <c r="G698" s="100">
        <v>2020.0</v>
      </c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38.25" customHeight="1">
      <c r="A699" s="104">
        <v>43831.0</v>
      </c>
      <c r="B699" s="101" t="s">
        <v>2255</v>
      </c>
      <c r="C699" s="94" t="s">
        <v>338</v>
      </c>
      <c r="D699" s="94" t="s">
        <v>2256</v>
      </c>
      <c r="E699" s="95" t="s">
        <v>2257</v>
      </c>
      <c r="F699" s="94" t="s">
        <v>73</v>
      </c>
      <c r="G699" s="96">
        <v>2020.0</v>
      </c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51.75" customHeight="1">
      <c r="A700" s="103">
        <v>43862.0</v>
      </c>
      <c r="B700" s="102" t="s">
        <v>2258</v>
      </c>
      <c r="C700" s="109" t="s">
        <v>669</v>
      </c>
      <c r="D700" s="109" t="s">
        <v>2259</v>
      </c>
      <c r="E700" s="109" t="s">
        <v>2260</v>
      </c>
      <c r="F700" s="109" t="s">
        <v>73</v>
      </c>
      <c r="G700" s="110">
        <v>2020.0</v>
      </c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38.25" customHeight="1">
      <c r="A701" s="104">
        <v>43891.0</v>
      </c>
      <c r="B701" s="101" t="s">
        <v>2261</v>
      </c>
      <c r="C701" s="111" t="s">
        <v>1800</v>
      </c>
      <c r="D701" s="111" t="s">
        <v>2262</v>
      </c>
      <c r="E701" s="112" t="s">
        <v>2263</v>
      </c>
      <c r="F701" s="111" t="s">
        <v>180</v>
      </c>
      <c r="G701" s="113">
        <v>2020.0</v>
      </c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51.75" customHeight="1">
      <c r="A702" s="103">
        <v>43922.0</v>
      </c>
      <c r="B702" s="102" t="s">
        <v>2264</v>
      </c>
      <c r="C702" s="90"/>
      <c r="D702" s="109" t="s">
        <v>2265</v>
      </c>
      <c r="E702" s="109" t="s">
        <v>2266</v>
      </c>
      <c r="F702" s="109" t="s">
        <v>36</v>
      </c>
      <c r="G702" s="110">
        <v>2020.0</v>
      </c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38.25" customHeight="1">
      <c r="A703" s="104">
        <v>43952.0</v>
      </c>
      <c r="B703" s="101" t="s">
        <v>2267</v>
      </c>
      <c r="C703" s="111" t="s">
        <v>2268</v>
      </c>
      <c r="D703" s="111" t="s">
        <v>2269</v>
      </c>
      <c r="E703" s="112" t="s">
        <v>2270</v>
      </c>
      <c r="F703" s="111" t="s">
        <v>184</v>
      </c>
      <c r="G703" s="113">
        <v>2020.0</v>
      </c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51.75" customHeight="1">
      <c r="A704" s="103">
        <v>43983.0</v>
      </c>
      <c r="B704" s="102" t="s">
        <v>2271</v>
      </c>
      <c r="C704" s="109" t="s">
        <v>2272</v>
      </c>
      <c r="D704" s="109" t="s">
        <v>2273</v>
      </c>
      <c r="E704" s="109" t="s">
        <v>2274</v>
      </c>
      <c r="F704" s="109" t="s">
        <v>2275</v>
      </c>
      <c r="G704" s="110">
        <v>2020.0</v>
      </c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38.25" customHeight="1">
      <c r="A705" s="104">
        <v>44013.0</v>
      </c>
      <c r="B705" s="101" t="s">
        <v>2276</v>
      </c>
      <c r="C705" s="111" t="s">
        <v>2277</v>
      </c>
      <c r="D705" s="111" t="s">
        <v>2278</v>
      </c>
      <c r="E705" s="112" t="s">
        <v>2279</v>
      </c>
      <c r="F705" s="111" t="s">
        <v>64</v>
      </c>
      <c r="G705" s="113">
        <v>2020.0</v>
      </c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51.75" customHeight="1">
      <c r="A706" s="103">
        <v>44044.0</v>
      </c>
      <c r="B706" s="102" t="s">
        <v>2280</v>
      </c>
      <c r="C706" s="90"/>
      <c r="D706" s="109" t="s">
        <v>2281</v>
      </c>
      <c r="E706" s="109" t="s">
        <v>2282</v>
      </c>
      <c r="F706" s="109" t="s">
        <v>2283</v>
      </c>
      <c r="G706" s="91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38.25" customHeight="1">
      <c r="A707" s="104">
        <v>44197.0</v>
      </c>
      <c r="B707" s="101" t="s">
        <v>2284</v>
      </c>
      <c r="C707" s="111" t="s">
        <v>347</v>
      </c>
      <c r="D707" s="111" t="s">
        <v>2285</v>
      </c>
      <c r="E707" s="112" t="s">
        <v>2286</v>
      </c>
      <c r="F707" s="111" t="s">
        <v>180</v>
      </c>
      <c r="G707" s="113">
        <v>2021.0</v>
      </c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51.75" customHeight="1">
      <c r="A708" s="103">
        <v>44228.0</v>
      </c>
      <c r="B708" s="102" t="s">
        <v>2287</v>
      </c>
      <c r="C708" s="109" t="s">
        <v>2288</v>
      </c>
      <c r="D708" s="109" t="s">
        <v>2289</v>
      </c>
      <c r="E708" s="109" t="s">
        <v>2290</v>
      </c>
      <c r="F708" s="109" t="s">
        <v>64</v>
      </c>
      <c r="G708" s="110">
        <v>2021.0</v>
      </c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38.25" customHeight="1">
      <c r="A709" s="104">
        <v>44256.0</v>
      </c>
      <c r="B709" s="101" t="s">
        <v>2291</v>
      </c>
      <c r="C709" s="111" t="s">
        <v>301</v>
      </c>
      <c r="D709" s="111" t="s">
        <v>2292</v>
      </c>
      <c r="E709" s="112" t="s">
        <v>2293</v>
      </c>
      <c r="F709" s="111" t="s">
        <v>1083</v>
      </c>
      <c r="G709" s="113">
        <v>2021.0</v>
      </c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51.75" customHeight="1">
      <c r="A710" s="114"/>
      <c r="B710" s="115"/>
      <c r="C710" s="90"/>
      <c r="D710" s="90"/>
      <c r="E710" s="90"/>
      <c r="F710" s="90"/>
      <c r="G710" s="91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38.25" customHeight="1">
      <c r="A711" s="116"/>
      <c r="B711" s="117"/>
      <c r="C711" s="48"/>
      <c r="D711" s="48"/>
      <c r="E711" s="33"/>
      <c r="F711" s="48"/>
      <c r="G711" s="79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51.75" customHeight="1">
      <c r="A712" s="114"/>
      <c r="B712" s="115"/>
      <c r="C712" s="90"/>
      <c r="D712" s="90"/>
      <c r="E712" s="90"/>
      <c r="F712" s="90"/>
      <c r="G712" s="91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38.25" customHeight="1">
      <c r="A713" s="116"/>
      <c r="B713" s="117"/>
      <c r="C713" s="48"/>
      <c r="D713" s="48"/>
      <c r="E713" s="33"/>
      <c r="F713" s="48"/>
      <c r="G713" s="79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51.75" customHeight="1">
      <c r="A714" s="114"/>
      <c r="B714" s="115"/>
      <c r="C714" s="90"/>
      <c r="D714" s="90"/>
      <c r="E714" s="90"/>
      <c r="F714" s="90"/>
      <c r="G714" s="91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38.25" customHeight="1">
      <c r="A715" s="116"/>
      <c r="B715" s="117"/>
      <c r="C715" s="48"/>
      <c r="D715" s="48"/>
      <c r="E715" s="33"/>
      <c r="F715" s="48"/>
      <c r="G715" s="79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51.75" customHeight="1">
      <c r="A716" s="114"/>
      <c r="B716" s="115"/>
      <c r="C716" s="90"/>
      <c r="D716" s="90"/>
      <c r="E716" s="90"/>
      <c r="F716" s="90"/>
      <c r="G716" s="91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38.25" customHeight="1">
      <c r="A717" s="116"/>
      <c r="B717" s="117"/>
      <c r="C717" s="48"/>
      <c r="D717" s="48"/>
      <c r="E717" s="33"/>
      <c r="F717" s="48"/>
      <c r="G717" s="79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51.75" customHeight="1">
      <c r="A718" s="114"/>
      <c r="B718" s="115"/>
      <c r="C718" s="90"/>
      <c r="D718" s="90"/>
      <c r="E718" s="90"/>
      <c r="F718" s="90"/>
      <c r="G718" s="91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38.25" customHeight="1">
      <c r="A719" s="116"/>
      <c r="B719" s="117"/>
      <c r="C719" s="48"/>
      <c r="D719" s="48"/>
      <c r="E719" s="33"/>
      <c r="F719" s="48"/>
      <c r="G719" s="79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51.75" customHeight="1">
      <c r="A720" s="114"/>
      <c r="B720" s="115"/>
      <c r="C720" s="90"/>
      <c r="D720" s="90"/>
      <c r="E720" s="90"/>
      <c r="F720" s="90"/>
      <c r="G720" s="91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2.75" customHeight="1">
      <c r="A721" s="118"/>
      <c r="B721" s="118"/>
      <c r="C721" s="118"/>
      <c r="D721" s="118"/>
      <c r="E721" s="119"/>
      <c r="F721" s="118"/>
      <c r="G721" s="120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118"/>
      <c r="B722" s="118"/>
      <c r="C722" s="118"/>
      <c r="D722" s="118"/>
      <c r="E722" s="119"/>
      <c r="F722" s="118"/>
      <c r="G722" s="120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118"/>
      <c r="B723" s="118"/>
      <c r="C723" s="118"/>
      <c r="D723" s="118"/>
      <c r="E723" s="119"/>
      <c r="F723" s="118"/>
      <c r="G723" s="120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118"/>
      <c r="B724" s="118"/>
      <c r="C724" s="118"/>
      <c r="D724" s="118"/>
      <c r="E724" s="119"/>
      <c r="F724" s="118"/>
      <c r="G724" s="120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118"/>
      <c r="B725" s="118"/>
      <c r="C725" s="118"/>
      <c r="D725" s="118"/>
      <c r="E725" s="119"/>
      <c r="F725" s="118"/>
      <c r="G725" s="120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118"/>
      <c r="B726" s="118"/>
      <c r="C726" s="118"/>
      <c r="D726" s="118"/>
      <c r="E726" s="119"/>
      <c r="F726" s="118"/>
      <c r="G726" s="120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118"/>
      <c r="B727" s="118"/>
      <c r="C727" s="118"/>
      <c r="D727" s="118"/>
      <c r="E727" s="119"/>
      <c r="F727" s="118"/>
      <c r="G727" s="120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118"/>
      <c r="B728" s="118"/>
      <c r="C728" s="118"/>
      <c r="D728" s="118"/>
      <c r="E728" s="119"/>
      <c r="F728" s="118"/>
      <c r="G728" s="120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118"/>
      <c r="B729" s="118"/>
      <c r="C729" s="118"/>
      <c r="D729" s="118"/>
      <c r="E729" s="119"/>
      <c r="F729" s="118"/>
      <c r="G729" s="120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118"/>
      <c r="B730" s="118"/>
      <c r="C730" s="118"/>
      <c r="D730" s="118"/>
      <c r="E730" s="119"/>
      <c r="F730" s="118"/>
      <c r="G730" s="120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118"/>
      <c r="B731" s="118"/>
      <c r="C731" s="118"/>
      <c r="D731" s="118"/>
      <c r="E731" s="119"/>
      <c r="F731" s="118"/>
      <c r="G731" s="120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118"/>
      <c r="B732" s="118"/>
      <c r="C732" s="118"/>
      <c r="D732" s="118"/>
      <c r="E732" s="119"/>
      <c r="F732" s="118"/>
      <c r="G732" s="120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118"/>
      <c r="B733" s="118"/>
      <c r="C733" s="118"/>
      <c r="D733" s="118"/>
      <c r="E733" s="119"/>
      <c r="F733" s="118"/>
      <c r="G733" s="120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118"/>
      <c r="B734" s="118"/>
      <c r="C734" s="118"/>
      <c r="D734" s="118"/>
      <c r="E734" s="119"/>
      <c r="F734" s="118"/>
      <c r="G734" s="120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118"/>
      <c r="B735" s="118"/>
      <c r="C735" s="118"/>
      <c r="D735" s="118"/>
      <c r="E735" s="119"/>
      <c r="F735" s="118"/>
      <c r="G735" s="120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118"/>
      <c r="B736" s="118"/>
      <c r="C736" s="118"/>
      <c r="D736" s="118"/>
      <c r="E736" s="119"/>
      <c r="F736" s="118"/>
      <c r="G736" s="120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118"/>
      <c r="B737" s="118"/>
      <c r="C737" s="118"/>
      <c r="D737" s="118"/>
      <c r="E737" s="119"/>
      <c r="F737" s="118"/>
      <c r="G737" s="120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118"/>
      <c r="B738" s="118"/>
      <c r="C738" s="118"/>
      <c r="D738" s="118"/>
      <c r="E738" s="119"/>
      <c r="F738" s="118"/>
      <c r="G738" s="120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118"/>
      <c r="B739" s="118"/>
      <c r="C739" s="118"/>
      <c r="D739" s="118"/>
      <c r="E739" s="119"/>
      <c r="F739" s="118"/>
      <c r="G739" s="120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118"/>
      <c r="B740" s="118"/>
      <c r="C740" s="118"/>
      <c r="D740" s="118"/>
      <c r="E740" s="119"/>
      <c r="F740" s="118"/>
      <c r="G740" s="120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118"/>
      <c r="B741" s="118"/>
      <c r="C741" s="118"/>
      <c r="D741" s="118"/>
      <c r="E741" s="119"/>
      <c r="F741" s="118"/>
      <c r="G741" s="120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118"/>
      <c r="B742" s="118"/>
      <c r="C742" s="118"/>
      <c r="D742" s="118"/>
      <c r="E742" s="119"/>
      <c r="F742" s="118"/>
      <c r="G742" s="120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118"/>
      <c r="B743" s="118"/>
      <c r="C743" s="118"/>
      <c r="D743" s="118"/>
      <c r="E743" s="119"/>
      <c r="F743" s="118"/>
      <c r="G743" s="120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118"/>
      <c r="B744" s="118"/>
      <c r="C744" s="118"/>
      <c r="D744" s="118"/>
      <c r="E744" s="119"/>
      <c r="F744" s="118"/>
      <c r="G744" s="120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118"/>
      <c r="B745" s="118"/>
      <c r="C745" s="118"/>
      <c r="D745" s="118"/>
      <c r="E745" s="119"/>
      <c r="F745" s="118"/>
      <c r="G745" s="120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118"/>
      <c r="B746" s="118"/>
      <c r="C746" s="118"/>
      <c r="D746" s="118"/>
      <c r="E746" s="119"/>
      <c r="F746" s="118"/>
      <c r="G746" s="120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118"/>
      <c r="B747" s="118"/>
      <c r="C747" s="118"/>
      <c r="D747" s="118"/>
      <c r="E747" s="119"/>
      <c r="F747" s="118"/>
      <c r="G747" s="120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118"/>
      <c r="B748" s="118"/>
      <c r="C748" s="118"/>
      <c r="D748" s="118"/>
      <c r="E748" s="119"/>
      <c r="F748" s="118"/>
      <c r="G748" s="120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118"/>
      <c r="B749" s="118"/>
      <c r="C749" s="118"/>
      <c r="D749" s="118"/>
      <c r="E749" s="119"/>
      <c r="F749" s="118"/>
      <c r="G749" s="120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118"/>
      <c r="B750" s="118"/>
      <c r="C750" s="118"/>
      <c r="D750" s="118"/>
      <c r="E750" s="119"/>
      <c r="F750" s="118"/>
      <c r="G750" s="120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118"/>
      <c r="B751" s="118"/>
      <c r="C751" s="118"/>
      <c r="D751" s="118"/>
      <c r="E751" s="119"/>
      <c r="F751" s="118"/>
      <c r="G751" s="120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118"/>
      <c r="B752" s="118"/>
      <c r="C752" s="118"/>
      <c r="D752" s="118"/>
      <c r="E752" s="119"/>
      <c r="F752" s="118"/>
      <c r="G752" s="120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118"/>
      <c r="B753" s="118"/>
      <c r="C753" s="118"/>
      <c r="D753" s="118"/>
      <c r="E753" s="119"/>
      <c r="F753" s="118"/>
      <c r="G753" s="120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118"/>
      <c r="B754" s="118"/>
      <c r="C754" s="118"/>
      <c r="D754" s="118"/>
      <c r="E754" s="119"/>
      <c r="F754" s="118"/>
      <c r="G754" s="120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118"/>
      <c r="B755" s="118"/>
      <c r="C755" s="118"/>
      <c r="D755" s="118"/>
      <c r="E755" s="119"/>
      <c r="F755" s="118"/>
      <c r="G755" s="120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118"/>
      <c r="B756" s="118"/>
      <c r="C756" s="118"/>
      <c r="D756" s="118"/>
      <c r="E756" s="119"/>
      <c r="F756" s="118"/>
      <c r="G756" s="120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118"/>
      <c r="B757" s="118"/>
      <c r="C757" s="118"/>
      <c r="D757" s="118"/>
      <c r="E757" s="119"/>
      <c r="F757" s="118"/>
      <c r="G757" s="120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118"/>
      <c r="B758" s="118"/>
      <c r="C758" s="118"/>
      <c r="D758" s="118"/>
      <c r="E758" s="119"/>
      <c r="F758" s="118"/>
      <c r="G758" s="120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118"/>
      <c r="B759" s="118"/>
      <c r="C759" s="118"/>
      <c r="D759" s="118"/>
      <c r="E759" s="119"/>
      <c r="F759" s="118"/>
      <c r="G759" s="120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118"/>
      <c r="B760" s="118"/>
      <c r="C760" s="118"/>
      <c r="D760" s="118"/>
      <c r="E760" s="119"/>
      <c r="F760" s="118"/>
      <c r="G760" s="120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118"/>
      <c r="B761" s="118"/>
      <c r="C761" s="118"/>
      <c r="D761" s="118"/>
      <c r="E761" s="119"/>
      <c r="F761" s="118"/>
      <c r="G761" s="120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118"/>
      <c r="B762" s="118"/>
      <c r="C762" s="118"/>
      <c r="D762" s="118"/>
      <c r="E762" s="119"/>
      <c r="F762" s="118"/>
      <c r="G762" s="120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118"/>
      <c r="B763" s="118"/>
      <c r="C763" s="118"/>
      <c r="D763" s="118"/>
      <c r="E763" s="119"/>
      <c r="F763" s="118"/>
      <c r="G763" s="120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118"/>
      <c r="B764" s="118"/>
      <c r="C764" s="118"/>
      <c r="D764" s="118"/>
      <c r="E764" s="119"/>
      <c r="F764" s="118"/>
      <c r="G764" s="120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118"/>
      <c r="B765" s="118"/>
      <c r="C765" s="118"/>
      <c r="D765" s="118"/>
      <c r="E765" s="119"/>
      <c r="F765" s="118"/>
      <c r="G765" s="120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118"/>
      <c r="B766" s="118"/>
      <c r="C766" s="118"/>
      <c r="D766" s="118"/>
      <c r="E766" s="119"/>
      <c r="F766" s="118"/>
      <c r="G766" s="120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118"/>
      <c r="B767" s="118"/>
      <c r="C767" s="118"/>
      <c r="D767" s="118"/>
      <c r="E767" s="119"/>
      <c r="F767" s="118"/>
      <c r="G767" s="120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118"/>
      <c r="B768" s="118"/>
      <c r="C768" s="118"/>
      <c r="D768" s="118"/>
      <c r="E768" s="119"/>
      <c r="F768" s="118"/>
      <c r="G768" s="120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118"/>
      <c r="B769" s="118"/>
      <c r="C769" s="118"/>
      <c r="D769" s="118"/>
      <c r="E769" s="119"/>
      <c r="F769" s="118"/>
      <c r="G769" s="120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118"/>
      <c r="B770" s="118"/>
      <c r="C770" s="118"/>
      <c r="D770" s="118"/>
      <c r="E770" s="119"/>
      <c r="F770" s="118"/>
      <c r="G770" s="120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118"/>
      <c r="B771" s="118"/>
      <c r="C771" s="118"/>
      <c r="D771" s="118"/>
      <c r="E771" s="119"/>
      <c r="F771" s="118"/>
      <c r="G771" s="120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118"/>
      <c r="B772" s="118"/>
      <c r="C772" s="118"/>
      <c r="D772" s="118"/>
      <c r="E772" s="119"/>
      <c r="F772" s="118"/>
      <c r="G772" s="120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118"/>
      <c r="B773" s="118"/>
      <c r="C773" s="118"/>
      <c r="D773" s="118"/>
      <c r="E773" s="119"/>
      <c r="F773" s="118"/>
      <c r="G773" s="120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118"/>
      <c r="B774" s="118"/>
      <c r="C774" s="118"/>
      <c r="D774" s="118"/>
      <c r="E774" s="119"/>
      <c r="F774" s="118"/>
      <c r="G774" s="120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118"/>
      <c r="B775" s="118"/>
      <c r="C775" s="118"/>
      <c r="D775" s="118"/>
      <c r="E775" s="119"/>
      <c r="F775" s="118"/>
      <c r="G775" s="120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118"/>
      <c r="B776" s="118"/>
      <c r="C776" s="118"/>
      <c r="D776" s="118"/>
      <c r="E776" s="119"/>
      <c r="F776" s="118"/>
      <c r="G776" s="120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118"/>
      <c r="B777" s="118"/>
      <c r="C777" s="118"/>
      <c r="D777" s="118"/>
      <c r="E777" s="119"/>
      <c r="F777" s="118"/>
      <c r="G777" s="120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118"/>
      <c r="B778" s="118"/>
      <c r="C778" s="118"/>
      <c r="D778" s="118"/>
      <c r="E778" s="119"/>
      <c r="F778" s="118"/>
      <c r="G778" s="120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118"/>
      <c r="B779" s="118"/>
      <c r="C779" s="118"/>
      <c r="D779" s="118"/>
      <c r="E779" s="119"/>
      <c r="F779" s="118"/>
      <c r="G779" s="120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118"/>
      <c r="B780" s="118"/>
      <c r="C780" s="118"/>
      <c r="D780" s="118"/>
      <c r="E780" s="119"/>
      <c r="F780" s="118"/>
      <c r="G780" s="120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118"/>
      <c r="B781" s="118"/>
      <c r="C781" s="118"/>
      <c r="D781" s="118"/>
      <c r="E781" s="119"/>
      <c r="F781" s="118"/>
      <c r="G781" s="120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118"/>
      <c r="B782" s="118"/>
      <c r="C782" s="118"/>
      <c r="D782" s="118"/>
      <c r="E782" s="119"/>
      <c r="F782" s="118"/>
      <c r="G782" s="120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118"/>
      <c r="B783" s="118"/>
      <c r="C783" s="118"/>
      <c r="D783" s="118"/>
      <c r="E783" s="119"/>
      <c r="F783" s="118"/>
      <c r="G783" s="120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118"/>
      <c r="B784" s="118"/>
      <c r="C784" s="118"/>
      <c r="D784" s="118"/>
      <c r="E784" s="119"/>
      <c r="F784" s="118"/>
      <c r="G784" s="120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118"/>
      <c r="B785" s="118"/>
      <c r="C785" s="118"/>
      <c r="D785" s="118"/>
      <c r="E785" s="119"/>
      <c r="F785" s="118"/>
      <c r="G785" s="120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118"/>
      <c r="B786" s="118"/>
      <c r="C786" s="118"/>
      <c r="D786" s="118"/>
      <c r="E786" s="119"/>
      <c r="F786" s="118"/>
      <c r="G786" s="120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118"/>
      <c r="B787" s="118"/>
      <c r="C787" s="118"/>
      <c r="D787" s="118"/>
      <c r="E787" s="119"/>
      <c r="F787" s="118"/>
      <c r="G787" s="120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118"/>
      <c r="B788" s="118"/>
      <c r="C788" s="118"/>
      <c r="D788" s="118"/>
      <c r="E788" s="119"/>
      <c r="F788" s="118"/>
      <c r="G788" s="120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118"/>
      <c r="B789" s="118"/>
      <c r="C789" s="118"/>
      <c r="D789" s="118"/>
      <c r="E789" s="119"/>
      <c r="F789" s="118"/>
      <c r="G789" s="120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118"/>
      <c r="B790" s="118"/>
      <c r="C790" s="118"/>
      <c r="D790" s="118"/>
      <c r="E790" s="119"/>
      <c r="F790" s="118"/>
      <c r="G790" s="120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118"/>
      <c r="B791" s="118"/>
      <c r="C791" s="118"/>
      <c r="D791" s="118"/>
      <c r="E791" s="119"/>
      <c r="F791" s="118"/>
      <c r="G791" s="120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118"/>
      <c r="B792" s="118"/>
      <c r="C792" s="118"/>
      <c r="D792" s="118"/>
      <c r="E792" s="119"/>
      <c r="F792" s="118"/>
      <c r="G792" s="120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118"/>
      <c r="B793" s="118"/>
      <c r="C793" s="118"/>
      <c r="D793" s="118"/>
      <c r="E793" s="119"/>
      <c r="F793" s="118"/>
      <c r="G793" s="120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118"/>
      <c r="B794" s="118"/>
      <c r="C794" s="118"/>
      <c r="D794" s="118"/>
      <c r="E794" s="119"/>
      <c r="F794" s="118"/>
      <c r="G794" s="120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118"/>
      <c r="B795" s="118"/>
      <c r="C795" s="118"/>
      <c r="D795" s="118"/>
      <c r="E795" s="119"/>
      <c r="F795" s="118"/>
      <c r="G795" s="120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118"/>
      <c r="B796" s="118"/>
      <c r="C796" s="118"/>
      <c r="D796" s="118"/>
      <c r="E796" s="119"/>
      <c r="F796" s="118"/>
      <c r="G796" s="120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118"/>
      <c r="B797" s="118"/>
      <c r="C797" s="118"/>
      <c r="D797" s="118"/>
      <c r="E797" s="119"/>
      <c r="F797" s="118"/>
      <c r="G797" s="120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118"/>
      <c r="B798" s="118"/>
      <c r="C798" s="118"/>
      <c r="D798" s="118"/>
      <c r="E798" s="119"/>
      <c r="F798" s="118"/>
      <c r="G798" s="120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118"/>
      <c r="B799" s="118"/>
      <c r="C799" s="118"/>
      <c r="D799" s="118"/>
      <c r="E799" s="119"/>
      <c r="F799" s="118"/>
      <c r="G799" s="120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118"/>
      <c r="B800" s="118"/>
      <c r="C800" s="118"/>
      <c r="D800" s="118"/>
      <c r="E800" s="119"/>
      <c r="F800" s="118"/>
      <c r="G800" s="120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118"/>
      <c r="B801" s="118"/>
      <c r="C801" s="118"/>
      <c r="D801" s="118"/>
      <c r="E801" s="119"/>
      <c r="F801" s="118"/>
      <c r="G801" s="120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118"/>
      <c r="B802" s="118"/>
      <c r="C802" s="118"/>
      <c r="D802" s="118"/>
      <c r="E802" s="119"/>
      <c r="F802" s="118"/>
      <c r="G802" s="120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118"/>
      <c r="B803" s="118"/>
      <c r="C803" s="118"/>
      <c r="D803" s="118"/>
      <c r="E803" s="119"/>
      <c r="F803" s="118"/>
      <c r="G803" s="120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118"/>
      <c r="B804" s="118"/>
      <c r="C804" s="118"/>
      <c r="D804" s="118"/>
      <c r="E804" s="119"/>
      <c r="F804" s="118"/>
      <c r="G804" s="120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118"/>
      <c r="B805" s="118"/>
      <c r="C805" s="118"/>
      <c r="D805" s="118"/>
      <c r="E805" s="119"/>
      <c r="F805" s="118"/>
      <c r="G805" s="120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118"/>
      <c r="B806" s="118"/>
      <c r="C806" s="118"/>
      <c r="D806" s="118"/>
      <c r="E806" s="119"/>
      <c r="F806" s="118"/>
      <c r="G806" s="120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118"/>
      <c r="B807" s="118"/>
      <c r="C807" s="118"/>
      <c r="D807" s="118"/>
      <c r="E807" s="119"/>
      <c r="F807" s="118"/>
      <c r="G807" s="120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118"/>
      <c r="B808" s="118"/>
      <c r="C808" s="118"/>
      <c r="D808" s="118"/>
      <c r="E808" s="119"/>
      <c r="F808" s="118"/>
      <c r="G808" s="120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118"/>
      <c r="B809" s="118"/>
      <c r="C809" s="118"/>
      <c r="D809" s="118"/>
      <c r="E809" s="119"/>
      <c r="F809" s="118"/>
      <c r="G809" s="120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118"/>
      <c r="B810" s="118"/>
      <c r="C810" s="118"/>
      <c r="D810" s="118"/>
      <c r="E810" s="119"/>
      <c r="F810" s="118"/>
      <c r="G810" s="120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118"/>
      <c r="B811" s="118"/>
      <c r="C811" s="118"/>
      <c r="D811" s="118"/>
      <c r="E811" s="119"/>
      <c r="F811" s="118"/>
      <c r="G811" s="120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118"/>
      <c r="B812" s="118"/>
      <c r="C812" s="118"/>
      <c r="D812" s="118"/>
      <c r="E812" s="119"/>
      <c r="F812" s="118"/>
      <c r="G812" s="120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118"/>
      <c r="B813" s="118"/>
      <c r="C813" s="118"/>
      <c r="D813" s="118"/>
      <c r="E813" s="119"/>
      <c r="F813" s="118"/>
      <c r="G813" s="120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118"/>
      <c r="B814" s="118"/>
      <c r="C814" s="118"/>
      <c r="D814" s="118"/>
      <c r="E814" s="119"/>
      <c r="F814" s="118"/>
      <c r="G814" s="120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118"/>
      <c r="B815" s="118"/>
      <c r="C815" s="118"/>
      <c r="D815" s="118"/>
      <c r="E815" s="119"/>
      <c r="F815" s="118"/>
      <c r="G815" s="120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118"/>
      <c r="B816" s="118"/>
      <c r="C816" s="118"/>
      <c r="D816" s="118"/>
      <c r="E816" s="119"/>
      <c r="F816" s="118"/>
      <c r="G816" s="120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118"/>
      <c r="B817" s="118"/>
      <c r="C817" s="118"/>
      <c r="D817" s="118"/>
      <c r="E817" s="119"/>
      <c r="F817" s="118"/>
      <c r="G817" s="120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118"/>
      <c r="B818" s="118"/>
      <c r="C818" s="118"/>
      <c r="D818" s="118"/>
      <c r="E818" s="119"/>
      <c r="F818" s="118"/>
      <c r="G818" s="120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118"/>
      <c r="B819" s="118"/>
      <c r="C819" s="118"/>
      <c r="D819" s="118"/>
      <c r="E819" s="119"/>
      <c r="F819" s="118"/>
      <c r="G819" s="120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118"/>
      <c r="B820" s="118"/>
      <c r="C820" s="118"/>
      <c r="D820" s="118"/>
      <c r="E820" s="119"/>
      <c r="F820" s="118"/>
      <c r="G820" s="120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118"/>
      <c r="B821" s="118"/>
      <c r="C821" s="118"/>
      <c r="D821" s="118"/>
      <c r="E821" s="119"/>
      <c r="F821" s="118"/>
      <c r="G821" s="120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118"/>
      <c r="B822" s="118"/>
      <c r="C822" s="118"/>
      <c r="D822" s="118"/>
      <c r="E822" s="119"/>
      <c r="F822" s="118"/>
      <c r="G822" s="120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118"/>
      <c r="B823" s="118"/>
      <c r="C823" s="118"/>
      <c r="D823" s="118"/>
      <c r="E823" s="119"/>
      <c r="F823" s="118"/>
      <c r="G823" s="120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118"/>
      <c r="B824" s="118"/>
      <c r="C824" s="118"/>
      <c r="D824" s="118"/>
      <c r="E824" s="119"/>
      <c r="F824" s="118"/>
      <c r="G824" s="120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118"/>
      <c r="B825" s="118"/>
      <c r="C825" s="118"/>
      <c r="D825" s="118"/>
      <c r="E825" s="119"/>
      <c r="F825" s="118"/>
      <c r="G825" s="120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118"/>
      <c r="B826" s="118"/>
      <c r="C826" s="118"/>
      <c r="D826" s="118"/>
      <c r="E826" s="119"/>
      <c r="F826" s="118"/>
      <c r="G826" s="120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118"/>
      <c r="B827" s="118"/>
      <c r="C827" s="118"/>
      <c r="D827" s="118"/>
      <c r="E827" s="119"/>
      <c r="F827" s="118"/>
      <c r="G827" s="120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118"/>
      <c r="B828" s="118"/>
      <c r="C828" s="118"/>
      <c r="D828" s="118"/>
      <c r="E828" s="119"/>
      <c r="F828" s="118"/>
      <c r="G828" s="120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118"/>
      <c r="B829" s="118"/>
      <c r="C829" s="118"/>
      <c r="D829" s="118"/>
      <c r="E829" s="119"/>
      <c r="F829" s="118"/>
      <c r="G829" s="120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118"/>
      <c r="B830" s="118"/>
      <c r="C830" s="118"/>
      <c r="D830" s="118"/>
      <c r="E830" s="119"/>
      <c r="F830" s="118"/>
      <c r="G830" s="120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118"/>
      <c r="B831" s="118"/>
      <c r="C831" s="118"/>
      <c r="D831" s="118"/>
      <c r="E831" s="119"/>
      <c r="F831" s="118"/>
      <c r="G831" s="120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118"/>
      <c r="B832" s="118"/>
      <c r="C832" s="118"/>
      <c r="D832" s="118"/>
      <c r="E832" s="119"/>
      <c r="F832" s="118"/>
      <c r="G832" s="120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118"/>
      <c r="B833" s="118"/>
      <c r="C833" s="118"/>
      <c r="D833" s="118"/>
      <c r="E833" s="119"/>
      <c r="F833" s="118"/>
      <c r="G833" s="120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118"/>
      <c r="B834" s="118"/>
      <c r="C834" s="118"/>
      <c r="D834" s="118"/>
      <c r="E834" s="119"/>
      <c r="F834" s="118"/>
      <c r="G834" s="120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118"/>
      <c r="B835" s="118"/>
      <c r="C835" s="118"/>
      <c r="D835" s="118"/>
      <c r="E835" s="119"/>
      <c r="F835" s="118"/>
      <c r="G835" s="120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118"/>
      <c r="B836" s="118"/>
      <c r="C836" s="118"/>
      <c r="D836" s="118"/>
      <c r="E836" s="119"/>
      <c r="F836" s="118"/>
      <c r="G836" s="120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118"/>
      <c r="B837" s="118"/>
      <c r="C837" s="118"/>
      <c r="D837" s="118"/>
      <c r="E837" s="119"/>
      <c r="F837" s="118"/>
      <c r="G837" s="120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118"/>
      <c r="B838" s="118"/>
      <c r="C838" s="118"/>
      <c r="D838" s="118"/>
      <c r="E838" s="119"/>
      <c r="F838" s="118"/>
      <c r="G838" s="120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118"/>
      <c r="B839" s="118"/>
      <c r="C839" s="118"/>
      <c r="D839" s="118"/>
      <c r="E839" s="119"/>
      <c r="F839" s="118"/>
      <c r="G839" s="120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118"/>
      <c r="B840" s="118"/>
      <c r="C840" s="118"/>
      <c r="D840" s="118"/>
      <c r="E840" s="119"/>
      <c r="F840" s="118"/>
      <c r="G840" s="120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118"/>
      <c r="B841" s="118"/>
      <c r="C841" s="118"/>
      <c r="D841" s="118"/>
      <c r="E841" s="119"/>
      <c r="F841" s="118"/>
      <c r="G841" s="120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118"/>
      <c r="B842" s="118"/>
      <c r="C842" s="118"/>
      <c r="D842" s="118"/>
      <c r="E842" s="119"/>
      <c r="F842" s="118"/>
      <c r="G842" s="120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118"/>
      <c r="B843" s="118"/>
      <c r="C843" s="118"/>
      <c r="D843" s="118"/>
      <c r="E843" s="119"/>
      <c r="F843" s="118"/>
      <c r="G843" s="120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118"/>
      <c r="B844" s="118"/>
      <c r="C844" s="118"/>
      <c r="D844" s="118"/>
      <c r="E844" s="119"/>
      <c r="F844" s="118"/>
      <c r="G844" s="120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118"/>
      <c r="B845" s="118"/>
      <c r="C845" s="118"/>
      <c r="D845" s="118"/>
      <c r="E845" s="119"/>
      <c r="F845" s="118"/>
      <c r="G845" s="120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118"/>
      <c r="B846" s="118"/>
      <c r="C846" s="118"/>
      <c r="D846" s="118"/>
      <c r="E846" s="119"/>
      <c r="F846" s="118"/>
      <c r="G846" s="120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118"/>
      <c r="B847" s="118"/>
      <c r="C847" s="118"/>
      <c r="D847" s="118"/>
      <c r="E847" s="119"/>
      <c r="F847" s="118"/>
      <c r="G847" s="120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118"/>
      <c r="B848" s="118"/>
      <c r="C848" s="118"/>
      <c r="D848" s="118"/>
      <c r="E848" s="119"/>
      <c r="F848" s="118"/>
      <c r="G848" s="120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118"/>
      <c r="B849" s="118"/>
      <c r="C849" s="118"/>
      <c r="D849" s="118"/>
      <c r="E849" s="119"/>
      <c r="F849" s="118"/>
      <c r="G849" s="120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118"/>
      <c r="B850" s="118"/>
      <c r="C850" s="118"/>
      <c r="D850" s="118"/>
      <c r="E850" s="119"/>
      <c r="F850" s="118"/>
      <c r="G850" s="120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118"/>
      <c r="B851" s="118"/>
      <c r="C851" s="118"/>
      <c r="D851" s="118"/>
      <c r="E851" s="119"/>
      <c r="F851" s="118"/>
      <c r="G851" s="120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118"/>
      <c r="B852" s="118"/>
      <c r="C852" s="118"/>
      <c r="D852" s="118"/>
      <c r="E852" s="119"/>
      <c r="F852" s="118"/>
      <c r="G852" s="120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118"/>
      <c r="B853" s="118"/>
      <c r="C853" s="118"/>
      <c r="D853" s="118"/>
      <c r="E853" s="119"/>
      <c r="F853" s="118"/>
      <c r="G853" s="120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118"/>
      <c r="B854" s="118"/>
      <c r="C854" s="118"/>
      <c r="D854" s="118"/>
      <c r="E854" s="119"/>
      <c r="F854" s="118"/>
      <c r="G854" s="120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118"/>
      <c r="B855" s="118"/>
      <c r="C855" s="118"/>
      <c r="D855" s="118"/>
      <c r="E855" s="119"/>
      <c r="F855" s="118"/>
      <c r="G855" s="120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118"/>
      <c r="B856" s="118"/>
      <c r="C856" s="118"/>
      <c r="D856" s="118"/>
      <c r="E856" s="119"/>
      <c r="F856" s="118"/>
      <c r="G856" s="120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118"/>
      <c r="B857" s="118"/>
      <c r="C857" s="118"/>
      <c r="D857" s="118"/>
      <c r="E857" s="119"/>
      <c r="F857" s="118"/>
      <c r="G857" s="120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118"/>
      <c r="B858" s="118"/>
      <c r="C858" s="118"/>
      <c r="D858" s="118"/>
      <c r="E858" s="119"/>
      <c r="F858" s="118"/>
      <c r="G858" s="120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118"/>
      <c r="B859" s="118"/>
      <c r="C859" s="118"/>
      <c r="D859" s="118"/>
      <c r="E859" s="119"/>
      <c r="F859" s="118"/>
      <c r="G859" s="120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119"/>
      <c r="B860" s="119"/>
      <c r="C860" s="119"/>
      <c r="D860" s="119"/>
      <c r="E860" s="119"/>
      <c r="F860" s="119"/>
      <c r="G860" s="121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8"/>
      <c r="T860" s="8"/>
      <c r="U860" s="8"/>
      <c r="V860" s="8"/>
      <c r="W860" s="8"/>
      <c r="X860" s="8"/>
      <c r="Y860" s="8"/>
      <c r="Z860" s="8"/>
    </row>
    <row r="861" ht="12.75" customHeight="1">
      <c r="A861" s="119"/>
      <c r="B861" s="119"/>
      <c r="C861" s="119"/>
      <c r="D861" s="119"/>
      <c r="E861" s="119"/>
      <c r="F861" s="119"/>
      <c r="G861" s="121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8"/>
      <c r="T861" s="8"/>
      <c r="U861" s="8"/>
      <c r="V861" s="8"/>
      <c r="W861" s="8"/>
      <c r="X861" s="8"/>
      <c r="Y861" s="8"/>
      <c r="Z861" s="8"/>
    </row>
    <row r="862" ht="12.75" customHeight="1">
      <c r="A862" s="119"/>
      <c r="B862" s="119"/>
      <c r="C862" s="119"/>
      <c r="D862" s="119"/>
      <c r="E862" s="119"/>
      <c r="F862" s="119"/>
      <c r="G862" s="121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8"/>
      <c r="T862" s="8"/>
      <c r="U862" s="8"/>
      <c r="V862" s="8"/>
      <c r="W862" s="8"/>
      <c r="X862" s="8"/>
      <c r="Y862" s="8"/>
      <c r="Z862" s="8"/>
    </row>
    <row r="863" ht="12.75" customHeight="1">
      <c r="A863" s="119"/>
      <c r="B863" s="119"/>
      <c r="C863" s="119"/>
      <c r="D863" s="119"/>
      <c r="E863" s="119"/>
      <c r="F863" s="119"/>
      <c r="G863" s="121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8"/>
      <c r="T863" s="8"/>
      <c r="U863" s="8"/>
      <c r="V863" s="8"/>
      <c r="W863" s="8"/>
      <c r="X863" s="8"/>
      <c r="Y863" s="8"/>
      <c r="Z863" s="8"/>
    </row>
    <row r="864" ht="12.75" customHeight="1">
      <c r="A864" s="119"/>
      <c r="B864" s="119"/>
      <c r="C864" s="119"/>
      <c r="D864" s="119"/>
      <c r="E864" s="119"/>
      <c r="F864" s="119"/>
      <c r="G864" s="121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8"/>
      <c r="T864" s="8"/>
      <c r="U864" s="8"/>
      <c r="V864" s="8"/>
      <c r="W864" s="8"/>
      <c r="X864" s="8"/>
      <c r="Y864" s="8"/>
      <c r="Z864" s="8"/>
    </row>
    <row r="865" ht="12.75" customHeight="1">
      <c r="A865" s="119"/>
      <c r="B865" s="119"/>
      <c r="C865" s="119"/>
      <c r="D865" s="119"/>
      <c r="E865" s="119"/>
      <c r="F865" s="119"/>
      <c r="G865" s="121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8"/>
      <c r="T865" s="8"/>
      <c r="U865" s="8"/>
      <c r="V865" s="8"/>
      <c r="W865" s="8"/>
      <c r="X865" s="8"/>
      <c r="Y865" s="8"/>
      <c r="Z865" s="8"/>
    </row>
    <row r="866" ht="12.75" customHeight="1">
      <c r="A866" s="119"/>
      <c r="B866" s="119"/>
      <c r="C866" s="119"/>
      <c r="D866" s="119"/>
      <c r="E866" s="119"/>
      <c r="F866" s="119"/>
      <c r="G866" s="121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8"/>
      <c r="T866" s="8"/>
      <c r="U866" s="8"/>
      <c r="V866" s="8"/>
      <c r="W866" s="8"/>
      <c r="X866" s="8"/>
      <c r="Y866" s="8"/>
      <c r="Z866" s="8"/>
    </row>
    <row r="867" ht="12.75" customHeight="1">
      <c r="A867" s="119"/>
      <c r="B867" s="119"/>
      <c r="C867" s="119"/>
      <c r="D867" s="119"/>
      <c r="E867" s="119"/>
      <c r="F867" s="119"/>
      <c r="G867" s="121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8"/>
      <c r="T867" s="8"/>
      <c r="U867" s="8"/>
      <c r="V867" s="8"/>
      <c r="W867" s="8"/>
      <c r="X867" s="8"/>
      <c r="Y867" s="8"/>
      <c r="Z867" s="8"/>
    </row>
    <row r="868" ht="12.75" customHeight="1">
      <c r="A868" s="119"/>
      <c r="B868" s="119"/>
      <c r="C868" s="119"/>
      <c r="D868" s="119"/>
      <c r="E868" s="119"/>
      <c r="F868" s="119"/>
      <c r="G868" s="121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8"/>
      <c r="T868" s="8"/>
      <c r="U868" s="8"/>
      <c r="V868" s="8"/>
      <c r="W868" s="8"/>
      <c r="X868" s="8"/>
      <c r="Y868" s="8"/>
      <c r="Z868" s="8"/>
    </row>
    <row r="869" ht="12.75" customHeight="1">
      <c r="A869" s="119"/>
      <c r="B869" s="119"/>
      <c r="C869" s="119"/>
      <c r="D869" s="119"/>
      <c r="E869" s="119"/>
      <c r="F869" s="119"/>
      <c r="G869" s="121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8"/>
      <c r="T869" s="8"/>
      <c r="U869" s="8"/>
      <c r="V869" s="8"/>
      <c r="W869" s="8"/>
      <c r="X869" s="8"/>
      <c r="Y869" s="8"/>
      <c r="Z869" s="8"/>
    </row>
    <row r="870" ht="12.75" customHeight="1">
      <c r="A870" s="119"/>
      <c r="B870" s="119"/>
      <c r="C870" s="119"/>
      <c r="D870" s="119"/>
      <c r="E870" s="119"/>
      <c r="F870" s="119"/>
      <c r="G870" s="121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8"/>
      <c r="T870" s="8"/>
      <c r="U870" s="8"/>
      <c r="V870" s="8"/>
      <c r="W870" s="8"/>
      <c r="X870" s="8"/>
      <c r="Y870" s="8"/>
      <c r="Z870" s="8"/>
    </row>
    <row r="871" ht="12.75" customHeight="1">
      <c r="A871" s="119"/>
      <c r="B871" s="119"/>
      <c r="C871" s="119"/>
      <c r="D871" s="119"/>
      <c r="E871" s="119"/>
      <c r="F871" s="119"/>
      <c r="G871" s="121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8"/>
      <c r="T871" s="8"/>
      <c r="U871" s="8"/>
      <c r="V871" s="8"/>
      <c r="W871" s="8"/>
      <c r="X871" s="8"/>
      <c r="Y871" s="8"/>
      <c r="Z871" s="8"/>
    </row>
    <row r="872" ht="12.75" customHeight="1">
      <c r="A872" s="119"/>
      <c r="B872" s="119"/>
      <c r="C872" s="119"/>
      <c r="D872" s="119"/>
      <c r="E872" s="119"/>
      <c r="F872" s="119"/>
      <c r="G872" s="121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8"/>
      <c r="T872" s="8"/>
      <c r="U872" s="8"/>
      <c r="V872" s="8"/>
      <c r="W872" s="8"/>
      <c r="X872" s="8"/>
      <c r="Y872" s="8"/>
      <c r="Z872" s="8"/>
    </row>
    <row r="873" ht="12.75" customHeight="1">
      <c r="A873" s="119"/>
      <c r="B873" s="119"/>
      <c r="C873" s="119"/>
      <c r="D873" s="119"/>
      <c r="E873" s="119"/>
      <c r="F873" s="119"/>
      <c r="G873" s="121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8"/>
      <c r="T873" s="8"/>
      <c r="U873" s="8"/>
      <c r="V873" s="8"/>
      <c r="W873" s="8"/>
      <c r="X873" s="8"/>
      <c r="Y873" s="8"/>
      <c r="Z873" s="8"/>
    </row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autoFilter ref="$A$5:$G$720"/>
  <mergeCells count="3">
    <mergeCell ref="A1:G1"/>
    <mergeCell ref="A2:G2"/>
    <mergeCell ref="A3:G3"/>
  </mergeCells>
  <dataValidations>
    <dataValidation type="list" allowBlank="1" showInputMessage="1" showErrorMessage="1" prompt=" - " sqref="C7:C33 C35:C122 C127:C130 C136:C139 C152 C154:C212 C277:C288 C291 C293 C313 C383:C384 C395:C396 C399:C400 C406 C408:C412 C420:C423 C446:C447 C454:C455 C458:C466 C483:C485 C498:C501 C503:C520 C522 C527 C529 C531 C534:C550">
      <formula1>AreaConcentracao</formula1>
    </dataValidation>
  </dataValidations>
  <hyperlinks>
    <hyperlink r:id="rId1" ref="A7"/>
    <hyperlink r:id="rId2" ref="A8"/>
    <hyperlink r:id="rId3" ref="A9"/>
    <hyperlink r:id="rId4" ref="A10"/>
    <hyperlink r:id="rId5" ref="A11"/>
    <hyperlink r:id="rId6" ref="A12"/>
    <hyperlink r:id="rId7" ref="A13"/>
    <hyperlink r:id="rId8" ref="A14"/>
    <hyperlink r:id="rId9" ref="A15"/>
    <hyperlink r:id="rId10" ref="A16"/>
    <hyperlink r:id="rId11" ref="A17"/>
    <hyperlink r:id="rId12" ref="A18"/>
    <hyperlink r:id="rId13" ref="A19"/>
    <hyperlink r:id="rId14" ref="A20"/>
    <hyperlink r:id="rId15" ref="A21"/>
    <hyperlink r:id="rId16" ref="A22"/>
    <hyperlink r:id="rId17" ref="A23"/>
    <hyperlink r:id="rId18" ref="A24"/>
    <hyperlink r:id="rId19" ref="A25"/>
    <hyperlink r:id="rId20" ref="A26"/>
    <hyperlink r:id="rId21" ref="A27"/>
    <hyperlink r:id="rId22" ref="A28"/>
    <hyperlink r:id="rId23" ref="A29"/>
    <hyperlink r:id="rId24" ref="A30"/>
    <hyperlink r:id="rId25" ref="A31"/>
    <hyperlink r:id="rId26" ref="A32"/>
    <hyperlink r:id="rId27" ref="A33"/>
    <hyperlink r:id="rId28" ref="A34"/>
    <hyperlink r:id="rId29" ref="A35"/>
    <hyperlink r:id="rId30" ref="A36"/>
    <hyperlink r:id="rId31" ref="A37"/>
    <hyperlink r:id="rId32" ref="A38"/>
    <hyperlink r:id="rId33" ref="A39"/>
    <hyperlink r:id="rId34" ref="A40"/>
    <hyperlink r:id="rId35" ref="A41"/>
    <hyperlink r:id="rId36" ref="A42"/>
    <hyperlink r:id="rId37" ref="A43"/>
    <hyperlink r:id="rId38" ref="A44"/>
    <hyperlink r:id="rId39" ref="A45"/>
    <hyperlink r:id="rId40" ref="A46"/>
    <hyperlink r:id="rId41" ref="A47"/>
    <hyperlink r:id="rId42" ref="A48"/>
    <hyperlink r:id="rId43" ref="A49"/>
    <hyperlink r:id="rId44" ref="A50"/>
    <hyperlink r:id="rId45" ref="A51"/>
    <hyperlink r:id="rId46" ref="A52"/>
    <hyperlink r:id="rId47" ref="A53"/>
    <hyperlink r:id="rId48" ref="A54"/>
    <hyperlink r:id="rId49" ref="A55"/>
    <hyperlink r:id="rId50" ref="A56"/>
    <hyperlink r:id="rId51" ref="A57"/>
    <hyperlink r:id="rId52" ref="A58"/>
    <hyperlink r:id="rId53" ref="A59"/>
    <hyperlink r:id="rId54" ref="A60"/>
    <hyperlink r:id="rId55" ref="A61"/>
    <hyperlink r:id="rId56" ref="A62"/>
    <hyperlink r:id="rId57" ref="A63"/>
    <hyperlink r:id="rId58" ref="A64"/>
    <hyperlink r:id="rId59" ref="A65"/>
    <hyperlink r:id="rId60" ref="A66"/>
    <hyperlink r:id="rId61" ref="A67"/>
    <hyperlink r:id="rId62" ref="A68"/>
    <hyperlink r:id="rId63" ref="A69"/>
    <hyperlink r:id="rId64" ref="A70"/>
    <hyperlink r:id="rId65" ref="A71"/>
    <hyperlink r:id="rId66" ref="A72"/>
    <hyperlink r:id="rId67" ref="A73"/>
    <hyperlink r:id="rId68" ref="A74"/>
    <hyperlink r:id="rId69" ref="A75"/>
    <hyperlink r:id="rId70" ref="A76"/>
    <hyperlink r:id="rId71" ref="A77"/>
    <hyperlink r:id="rId72" ref="A78"/>
    <hyperlink r:id="rId73" ref="A79"/>
    <hyperlink r:id="rId74" ref="A80"/>
    <hyperlink r:id="rId75" ref="A81"/>
    <hyperlink r:id="rId76" ref="A82"/>
    <hyperlink r:id="rId77" ref="A83"/>
    <hyperlink r:id="rId78" ref="A266"/>
    <hyperlink r:id="rId79" ref="A267"/>
    <hyperlink r:id="rId80" ref="A268"/>
    <hyperlink r:id="rId81" ref="A269"/>
    <hyperlink r:id="rId82" ref="A270"/>
    <hyperlink r:id="rId83" ref="A271"/>
    <hyperlink r:id="rId84" ref="A272"/>
    <hyperlink r:id="rId85" ref="A273"/>
    <hyperlink r:id="rId86" ref="A274"/>
    <hyperlink r:id="rId87" ref="A275"/>
    <hyperlink r:id="rId88" ref="A276"/>
    <hyperlink r:id="rId89" ref="A277"/>
    <hyperlink r:id="rId90" ref="A278"/>
    <hyperlink r:id="rId91" ref="A279"/>
    <hyperlink r:id="rId92" ref="A280"/>
    <hyperlink r:id="rId93" ref="A281"/>
    <hyperlink r:id="rId94" ref="A282"/>
    <hyperlink r:id="rId95" ref="A283"/>
    <hyperlink r:id="rId96" ref="A284"/>
    <hyperlink r:id="rId97" ref="A285"/>
    <hyperlink r:id="rId98" ref="A286"/>
    <hyperlink r:id="rId99" ref="A287"/>
    <hyperlink r:id="rId100" ref="A288"/>
    <hyperlink r:id="rId101" ref="A289"/>
    <hyperlink r:id="rId102" ref="A290"/>
    <hyperlink r:id="rId103" ref="A291"/>
    <hyperlink r:id="rId104" ref="A292"/>
    <hyperlink r:id="rId105" ref="A293"/>
    <hyperlink r:id="rId106" ref="A294"/>
    <hyperlink r:id="rId107" ref="A295"/>
    <hyperlink r:id="rId108" ref="A296"/>
    <hyperlink r:id="rId109" ref="A297"/>
    <hyperlink r:id="rId110" ref="A298"/>
    <hyperlink r:id="rId111" ref="A299"/>
    <hyperlink r:id="rId112" ref="A300"/>
    <hyperlink r:id="rId113" ref="A301"/>
    <hyperlink r:id="rId114" ref="A302"/>
    <hyperlink r:id="rId115" ref="A303"/>
    <hyperlink r:id="rId116" ref="A304"/>
    <hyperlink r:id="rId117" ref="A305"/>
    <hyperlink r:id="rId118" ref="A306"/>
    <hyperlink r:id="rId119" ref="A307"/>
    <hyperlink r:id="rId120" ref="A308"/>
    <hyperlink r:id="rId121" ref="A309"/>
    <hyperlink r:id="rId122" ref="A310"/>
    <hyperlink r:id="rId123" ref="A311"/>
    <hyperlink r:id="rId124" ref="A312"/>
    <hyperlink r:id="rId125" ref="A313"/>
    <hyperlink r:id="rId126" ref="A314"/>
    <hyperlink r:id="rId127" ref="A315"/>
    <hyperlink r:id="rId128" ref="A316"/>
    <hyperlink r:id="rId129" ref="A317"/>
    <hyperlink r:id="rId130" ref="A318"/>
    <hyperlink r:id="rId131" ref="A319"/>
    <hyperlink r:id="rId132" ref="A320"/>
    <hyperlink r:id="rId133" ref="A321"/>
    <hyperlink r:id="rId134" ref="A322"/>
    <hyperlink r:id="rId135" ref="A323"/>
    <hyperlink r:id="rId136" ref="A324"/>
    <hyperlink r:id="rId137" ref="A325"/>
    <hyperlink r:id="rId138" ref="A326"/>
    <hyperlink r:id="rId139" ref="A327"/>
    <hyperlink r:id="rId140" ref="A328"/>
    <hyperlink r:id="rId141" ref="A329"/>
    <hyperlink r:id="rId142" ref="A330"/>
    <hyperlink r:id="rId143" ref="A331"/>
    <hyperlink r:id="rId144" ref="A332"/>
    <hyperlink r:id="rId145" ref="A333"/>
    <hyperlink r:id="rId146" ref="A334"/>
    <hyperlink r:id="rId147" ref="A335"/>
    <hyperlink r:id="rId148" ref="A336"/>
    <hyperlink r:id="rId149" ref="A337"/>
    <hyperlink r:id="rId150" ref="A338"/>
    <hyperlink r:id="rId151" ref="A339"/>
    <hyperlink r:id="rId152" ref="A340"/>
    <hyperlink r:id="rId153" ref="A341"/>
    <hyperlink r:id="rId154" ref="A342"/>
    <hyperlink r:id="rId155" ref="A343"/>
    <hyperlink r:id="rId156" ref="A344"/>
    <hyperlink r:id="rId157" ref="A345"/>
    <hyperlink r:id="rId158" ref="A346"/>
    <hyperlink r:id="rId159" ref="A347"/>
    <hyperlink r:id="rId160" ref="A348"/>
    <hyperlink r:id="rId161" ref="A349"/>
    <hyperlink r:id="rId162" ref="A350"/>
    <hyperlink r:id="rId163" ref="A351"/>
    <hyperlink r:id="rId164" ref="A352"/>
    <hyperlink r:id="rId165" ref="A353"/>
    <hyperlink r:id="rId166" ref="A354"/>
    <hyperlink r:id="rId167" ref="A355"/>
    <hyperlink r:id="rId168" ref="A356"/>
    <hyperlink r:id="rId169" ref="A357"/>
    <hyperlink r:id="rId170" ref="A358"/>
    <hyperlink r:id="rId171" ref="A359"/>
    <hyperlink r:id="rId172" ref="A360"/>
    <hyperlink r:id="rId173" ref="A361"/>
    <hyperlink r:id="rId174" ref="A362"/>
    <hyperlink r:id="rId175" ref="A364"/>
    <hyperlink r:id="rId176" ref="A367"/>
    <hyperlink r:id="rId177" ref="A368"/>
    <hyperlink r:id="rId178" ref="A369"/>
    <hyperlink r:id="rId179" ref="A370"/>
    <hyperlink r:id="rId180" ref="A371"/>
    <hyperlink r:id="rId181" ref="A372"/>
    <hyperlink r:id="rId182" ref="A373"/>
    <hyperlink r:id="rId183" ref="A374"/>
    <hyperlink r:id="rId184" ref="A375"/>
    <hyperlink r:id="rId185" ref="A376"/>
    <hyperlink r:id="rId186" ref="A377"/>
    <hyperlink r:id="rId187" ref="A378"/>
    <hyperlink r:id="rId188" ref="A379"/>
    <hyperlink r:id="rId189" ref="A380"/>
    <hyperlink r:id="rId190" ref="A381"/>
    <hyperlink r:id="rId191" ref="A382"/>
    <hyperlink r:id="rId192" ref="A383"/>
    <hyperlink r:id="rId193" ref="A384"/>
    <hyperlink r:id="rId194" ref="A385"/>
    <hyperlink r:id="rId195" ref="A386"/>
    <hyperlink r:id="rId196" ref="A387"/>
    <hyperlink r:id="rId197" ref="A388"/>
    <hyperlink r:id="rId198" ref="A389"/>
    <hyperlink r:id="rId199" ref="A390"/>
    <hyperlink r:id="rId200" ref="A391"/>
    <hyperlink r:id="rId201" ref="A392"/>
    <hyperlink r:id="rId202" ref="A393"/>
    <hyperlink r:id="rId203" ref="A394"/>
    <hyperlink r:id="rId204" ref="A395"/>
    <hyperlink r:id="rId205" ref="A396"/>
    <hyperlink r:id="rId206" ref="A397"/>
    <hyperlink r:id="rId207" ref="A398"/>
    <hyperlink r:id="rId208" ref="A399"/>
    <hyperlink r:id="rId209" ref="A400"/>
    <hyperlink r:id="rId210" ref="A401"/>
    <hyperlink r:id="rId211" ref="A402"/>
    <hyperlink r:id="rId212" ref="A403"/>
    <hyperlink r:id="rId213" ref="A404"/>
    <hyperlink r:id="rId214" ref="A405"/>
    <hyperlink r:id="rId215" ref="A406"/>
    <hyperlink r:id="rId216" ref="A407"/>
    <hyperlink r:id="rId217" ref="A408"/>
    <hyperlink r:id="rId218" ref="A409"/>
    <hyperlink r:id="rId219" ref="A410"/>
    <hyperlink r:id="rId220" ref="A411"/>
    <hyperlink r:id="rId221" ref="A412"/>
    <hyperlink r:id="rId222" ref="A413"/>
    <hyperlink r:id="rId223" ref="A414"/>
    <hyperlink r:id="rId224" ref="A415"/>
    <hyperlink r:id="rId225" ref="A419"/>
    <hyperlink r:id="rId226" ref="A420"/>
    <hyperlink r:id="rId227" ref="A421"/>
    <hyperlink r:id="rId228" ref="A422"/>
    <hyperlink r:id="rId229" ref="A423"/>
    <hyperlink r:id="rId230" ref="A424"/>
    <hyperlink r:id="rId231" ref="A425"/>
    <hyperlink r:id="rId232" ref="A426"/>
    <hyperlink r:id="rId233" ref="A427"/>
    <hyperlink r:id="rId234" ref="A428"/>
    <hyperlink r:id="rId235" ref="A429"/>
    <hyperlink r:id="rId236" ref="A430"/>
    <hyperlink r:id="rId237" ref="A431"/>
    <hyperlink r:id="rId238" ref="A432"/>
    <hyperlink r:id="rId239" ref="A433"/>
    <hyperlink r:id="rId240" ref="A434"/>
    <hyperlink r:id="rId241" ref="A435"/>
    <hyperlink r:id="rId242" ref="A436"/>
    <hyperlink r:id="rId243" ref="A437"/>
    <hyperlink r:id="rId244" ref="A438"/>
    <hyperlink r:id="rId245" ref="A439"/>
    <hyperlink r:id="rId246" ref="A440"/>
    <hyperlink r:id="rId247" ref="A441"/>
    <hyperlink r:id="rId248" ref="A442"/>
    <hyperlink r:id="rId249" ref="A443"/>
    <hyperlink r:id="rId250" ref="A444"/>
    <hyperlink r:id="rId251" ref="A445"/>
    <hyperlink r:id="rId252" ref="A446"/>
    <hyperlink r:id="rId253" ref="A447"/>
    <hyperlink r:id="rId254" ref="A448"/>
    <hyperlink r:id="rId255" ref="A449"/>
    <hyperlink r:id="rId256" ref="A450"/>
    <hyperlink r:id="rId257" ref="A451"/>
    <hyperlink r:id="rId258" ref="A452"/>
    <hyperlink r:id="rId259" ref="A453"/>
    <hyperlink r:id="rId260" ref="A454"/>
    <hyperlink r:id="rId261" ref="A455"/>
    <hyperlink r:id="rId262" ref="A456"/>
    <hyperlink r:id="rId263" ref="A457"/>
    <hyperlink r:id="rId264" ref="A458"/>
    <hyperlink r:id="rId265" ref="A459"/>
    <hyperlink r:id="rId266" ref="A460"/>
    <hyperlink r:id="rId267" ref="A461"/>
    <hyperlink r:id="rId268" ref="A462"/>
    <hyperlink r:id="rId269" ref="A463"/>
    <hyperlink r:id="rId270" ref="A464"/>
    <hyperlink r:id="rId271" ref="A465"/>
    <hyperlink r:id="rId272" ref="A466"/>
    <hyperlink r:id="rId273" ref="A467"/>
    <hyperlink r:id="rId274" ref="A468"/>
    <hyperlink r:id="rId275" ref="A469"/>
    <hyperlink r:id="rId276" ref="A470"/>
    <hyperlink r:id="rId277" ref="A471"/>
    <hyperlink r:id="rId278" ref="A472"/>
    <hyperlink r:id="rId279" ref="A473"/>
    <hyperlink r:id="rId280" ref="A474"/>
    <hyperlink r:id="rId281" ref="A475"/>
    <hyperlink r:id="rId282" ref="A476"/>
    <hyperlink r:id="rId283" ref="A477"/>
    <hyperlink r:id="rId284" ref="A478"/>
    <hyperlink r:id="rId285" ref="A479"/>
    <hyperlink r:id="rId286" ref="A480"/>
    <hyperlink r:id="rId287" ref="A481"/>
    <hyperlink r:id="rId288" ref="A482"/>
    <hyperlink r:id="rId289" ref="A483"/>
    <hyperlink r:id="rId290" ref="A484"/>
    <hyperlink r:id="rId291" ref="A485"/>
    <hyperlink r:id="rId292" ref="A486"/>
    <hyperlink r:id="rId293" ref="A487"/>
    <hyperlink r:id="rId294" ref="A488"/>
    <hyperlink r:id="rId295" ref="A489"/>
    <hyperlink r:id="rId296" ref="A490"/>
    <hyperlink r:id="rId297" ref="A491"/>
    <hyperlink r:id="rId298" ref="A492"/>
    <hyperlink r:id="rId299" ref="A493"/>
    <hyperlink r:id="rId300" ref="A494"/>
    <hyperlink r:id="rId301" ref="A495"/>
    <hyperlink r:id="rId302" ref="A496"/>
    <hyperlink r:id="rId303" ref="A497"/>
    <hyperlink r:id="rId304" ref="A498"/>
    <hyperlink r:id="rId305" ref="A499"/>
    <hyperlink r:id="rId306" ref="A500"/>
    <hyperlink r:id="rId307" ref="A501"/>
    <hyperlink r:id="rId308" ref="A502"/>
    <hyperlink r:id="rId309" ref="A503"/>
    <hyperlink r:id="rId310" ref="A504"/>
    <hyperlink r:id="rId311" ref="A505"/>
    <hyperlink r:id="rId312" ref="A506"/>
    <hyperlink r:id="rId313" ref="A507"/>
    <hyperlink r:id="rId314" ref="A508"/>
    <hyperlink r:id="rId315" ref="A509"/>
    <hyperlink r:id="rId316" ref="A510"/>
    <hyperlink r:id="rId317" ref="A511"/>
    <hyperlink r:id="rId318" ref="A512"/>
    <hyperlink r:id="rId319" ref="A513"/>
    <hyperlink r:id="rId320" ref="A514"/>
    <hyperlink r:id="rId321" ref="A515"/>
    <hyperlink r:id="rId322" ref="A516"/>
    <hyperlink r:id="rId323" ref="A517"/>
    <hyperlink r:id="rId324" ref="B517"/>
    <hyperlink r:id="rId325" ref="A518"/>
    <hyperlink r:id="rId326" ref="B518"/>
    <hyperlink r:id="rId327" ref="A519"/>
    <hyperlink r:id="rId328" ref="B519"/>
    <hyperlink r:id="rId329" ref="F519"/>
    <hyperlink r:id="rId330" ref="A520"/>
    <hyperlink r:id="rId331" ref="B520"/>
    <hyperlink r:id="rId332" ref="A521"/>
    <hyperlink r:id="rId333" ref="B521"/>
    <hyperlink r:id="rId334" ref="A522"/>
    <hyperlink r:id="rId335" ref="B522"/>
    <hyperlink r:id="rId336" ref="A523"/>
    <hyperlink r:id="rId337" ref="B523"/>
    <hyperlink r:id="rId338" ref="A524"/>
    <hyperlink r:id="rId339" ref="B524"/>
    <hyperlink r:id="rId340" ref="A525"/>
    <hyperlink r:id="rId341" ref="B525"/>
    <hyperlink r:id="rId342" ref="A526"/>
    <hyperlink r:id="rId343" ref="B526"/>
    <hyperlink r:id="rId344" ref="A527"/>
    <hyperlink r:id="rId345" ref="B527"/>
    <hyperlink r:id="rId346" ref="A528"/>
    <hyperlink r:id="rId347" ref="B528"/>
    <hyperlink r:id="rId348" ref="A529"/>
    <hyperlink r:id="rId349" ref="B529"/>
    <hyperlink r:id="rId350" ref="A530"/>
    <hyperlink r:id="rId351" ref="B530"/>
    <hyperlink r:id="rId352" ref="A531"/>
    <hyperlink r:id="rId353" ref="B531"/>
    <hyperlink r:id="rId354" ref="B532"/>
    <hyperlink r:id="rId355" ref="B533"/>
    <hyperlink r:id="rId356" ref="A534"/>
    <hyperlink r:id="rId357" ref="B534"/>
    <hyperlink r:id="rId358" ref="A535"/>
    <hyperlink r:id="rId359" ref="B535"/>
    <hyperlink r:id="rId360" ref="A536"/>
    <hyperlink r:id="rId361" ref="B536"/>
    <hyperlink r:id="rId362" ref="A537"/>
    <hyperlink r:id="rId363" ref="B537"/>
    <hyperlink r:id="rId364" ref="A538"/>
    <hyperlink r:id="rId365" ref="B538"/>
    <hyperlink r:id="rId366" ref="A539"/>
    <hyperlink r:id="rId367" ref="B539"/>
    <hyperlink r:id="rId368" ref="A540"/>
    <hyperlink r:id="rId369" ref="B540"/>
    <hyperlink r:id="rId370" ref="A541"/>
    <hyperlink r:id="rId371" ref="B541"/>
    <hyperlink r:id="rId372" ref="A542"/>
    <hyperlink r:id="rId373" ref="B542"/>
    <hyperlink r:id="rId374" ref="A543"/>
    <hyperlink r:id="rId375" ref="B543"/>
    <hyperlink r:id="rId376" ref="A544"/>
    <hyperlink r:id="rId377" ref="B544"/>
    <hyperlink r:id="rId378" ref="A545"/>
    <hyperlink r:id="rId379" ref="B545"/>
    <hyperlink r:id="rId380" ref="A546"/>
    <hyperlink r:id="rId381" ref="B546"/>
    <hyperlink r:id="rId382" ref="A547"/>
    <hyperlink r:id="rId383" ref="B547"/>
    <hyperlink r:id="rId384" ref="A548"/>
    <hyperlink r:id="rId385" ref="B548"/>
    <hyperlink r:id="rId386" ref="A549"/>
    <hyperlink r:id="rId387" ref="B549"/>
    <hyperlink r:id="rId388" ref="A550"/>
    <hyperlink r:id="rId389" ref="B550"/>
    <hyperlink r:id="rId390" ref="A551"/>
    <hyperlink r:id="rId391" ref="B551"/>
    <hyperlink r:id="rId392" ref="A552"/>
    <hyperlink r:id="rId393" ref="B552"/>
    <hyperlink r:id="rId394" ref="A553"/>
    <hyperlink r:id="rId395" ref="B553"/>
    <hyperlink r:id="rId396" ref="A554"/>
    <hyperlink r:id="rId397" ref="B554"/>
    <hyperlink r:id="rId398" ref="A555"/>
    <hyperlink r:id="rId399" ref="B555"/>
    <hyperlink r:id="rId400" ref="A556"/>
    <hyperlink r:id="rId401" ref="B556"/>
    <hyperlink r:id="rId402" ref="A557"/>
    <hyperlink r:id="rId403" ref="B557"/>
    <hyperlink r:id="rId404" ref="A558"/>
    <hyperlink r:id="rId405" ref="B558"/>
    <hyperlink r:id="rId406" ref="A559"/>
    <hyperlink r:id="rId407" ref="B559"/>
    <hyperlink r:id="rId408" ref="A560"/>
    <hyperlink r:id="rId409" ref="B560"/>
    <hyperlink r:id="rId410" ref="A561"/>
    <hyperlink r:id="rId411" ref="B561"/>
    <hyperlink r:id="rId412" ref="A562"/>
    <hyperlink r:id="rId413" ref="B562"/>
    <hyperlink r:id="rId414" ref="A563"/>
    <hyperlink r:id="rId415" ref="B563"/>
    <hyperlink r:id="rId416" ref="A564"/>
    <hyperlink r:id="rId417" ref="B564"/>
    <hyperlink r:id="rId418" ref="A565"/>
    <hyperlink r:id="rId419" ref="B565"/>
    <hyperlink r:id="rId420" ref="A566"/>
    <hyperlink r:id="rId421" ref="B566"/>
    <hyperlink r:id="rId422" ref="A567"/>
    <hyperlink r:id="rId423" ref="B567"/>
    <hyperlink r:id="rId424" ref="A568"/>
    <hyperlink r:id="rId425" ref="B568"/>
    <hyperlink r:id="rId426" ref="A569"/>
    <hyperlink r:id="rId427" ref="B569"/>
    <hyperlink r:id="rId428" ref="A570"/>
    <hyperlink r:id="rId429" ref="B570"/>
    <hyperlink r:id="rId430" ref="A571"/>
    <hyperlink r:id="rId431" ref="B571"/>
    <hyperlink r:id="rId432" ref="A572"/>
    <hyperlink r:id="rId433" ref="B572"/>
    <hyperlink r:id="rId434" ref="A573"/>
    <hyperlink r:id="rId435" ref="B573"/>
    <hyperlink r:id="rId436" ref="A574"/>
    <hyperlink r:id="rId437" ref="B574"/>
    <hyperlink r:id="rId438" ref="A575"/>
    <hyperlink r:id="rId439" ref="B575"/>
    <hyperlink r:id="rId440" ref="A576"/>
    <hyperlink r:id="rId441" ref="B576"/>
    <hyperlink r:id="rId442" ref="A577"/>
    <hyperlink r:id="rId443" ref="B577"/>
    <hyperlink r:id="rId444" ref="A578"/>
    <hyperlink r:id="rId445" ref="B578"/>
    <hyperlink r:id="rId446" ref="A579"/>
    <hyperlink r:id="rId447" ref="B579"/>
    <hyperlink r:id="rId448" ref="A580"/>
    <hyperlink r:id="rId449" ref="B580"/>
    <hyperlink r:id="rId450" ref="A581"/>
    <hyperlink r:id="rId451" ref="B581"/>
    <hyperlink r:id="rId452" ref="A582"/>
    <hyperlink r:id="rId453" ref="B582"/>
    <hyperlink r:id="rId454" ref="A583"/>
    <hyperlink r:id="rId455" ref="B583"/>
    <hyperlink r:id="rId456" ref="A584"/>
    <hyperlink r:id="rId457" ref="B584"/>
    <hyperlink r:id="rId458" ref="A585"/>
    <hyperlink r:id="rId459" ref="B585"/>
    <hyperlink r:id="rId460" ref="A586"/>
    <hyperlink r:id="rId461" ref="B586"/>
    <hyperlink r:id="rId462" ref="A587"/>
    <hyperlink r:id="rId463" ref="B587"/>
    <hyperlink r:id="rId464" ref="A588"/>
    <hyperlink r:id="rId465" ref="B588"/>
    <hyperlink r:id="rId466" ref="A589"/>
    <hyperlink r:id="rId467" ref="B589"/>
    <hyperlink r:id="rId468" ref="A590"/>
    <hyperlink r:id="rId469" ref="B590"/>
    <hyperlink r:id="rId470" ref="A591"/>
    <hyperlink r:id="rId471" ref="B591"/>
    <hyperlink r:id="rId472" ref="A592"/>
    <hyperlink r:id="rId473" ref="B592"/>
    <hyperlink r:id="rId474" ref="A593"/>
    <hyperlink r:id="rId475" ref="B593"/>
    <hyperlink r:id="rId476" ref="A594"/>
    <hyperlink r:id="rId477" ref="B594"/>
    <hyperlink r:id="rId478" ref="A595"/>
    <hyperlink r:id="rId479" ref="B595"/>
    <hyperlink r:id="rId480" ref="A596"/>
    <hyperlink r:id="rId481" ref="B596"/>
    <hyperlink r:id="rId482" ref="A597"/>
    <hyperlink r:id="rId483" ref="B597"/>
    <hyperlink r:id="rId484" ref="A598"/>
    <hyperlink r:id="rId485" ref="B598"/>
    <hyperlink r:id="rId486" ref="A599"/>
    <hyperlink r:id="rId487" ref="B599"/>
    <hyperlink r:id="rId488" ref="A600"/>
    <hyperlink r:id="rId489" ref="B600"/>
    <hyperlink r:id="rId490" ref="A601"/>
    <hyperlink r:id="rId491" ref="B601"/>
    <hyperlink r:id="rId492" ref="A602"/>
    <hyperlink r:id="rId493" ref="B602"/>
    <hyperlink r:id="rId494" ref="A603"/>
    <hyperlink r:id="rId495" ref="B603"/>
    <hyperlink r:id="rId496" ref="A604"/>
    <hyperlink r:id="rId497" ref="B604"/>
    <hyperlink r:id="rId498" ref="A605"/>
    <hyperlink r:id="rId499" ref="B605"/>
    <hyperlink r:id="rId500" ref="A606"/>
    <hyperlink r:id="rId501" ref="B606"/>
    <hyperlink r:id="rId502" ref="A607"/>
    <hyperlink r:id="rId503" ref="B607"/>
    <hyperlink r:id="rId504" ref="A608"/>
    <hyperlink r:id="rId505" ref="B608"/>
    <hyperlink r:id="rId506" ref="A609"/>
    <hyperlink r:id="rId507" ref="B609"/>
    <hyperlink r:id="rId508" ref="A610"/>
    <hyperlink r:id="rId509" ref="B610"/>
    <hyperlink r:id="rId510" ref="A611"/>
    <hyperlink r:id="rId511" ref="B611"/>
    <hyperlink r:id="rId512" ref="A612"/>
    <hyperlink r:id="rId513" ref="B612"/>
    <hyperlink r:id="rId514" ref="A613"/>
    <hyperlink r:id="rId515" ref="B613"/>
    <hyperlink r:id="rId516" ref="A614"/>
    <hyperlink r:id="rId517" ref="B614"/>
    <hyperlink r:id="rId518" ref="A615"/>
    <hyperlink r:id="rId519" ref="B615"/>
    <hyperlink r:id="rId520" ref="A616"/>
    <hyperlink r:id="rId521" ref="B616"/>
    <hyperlink r:id="rId522" ref="A617"/>
    <hyperlink r:id="rId523" ref="B617"/>
    <hyperlink r:id="rId524" ref="A618"/>
    <hyperlink r:id="rId525" ref="B618"/>
    <hyperlink r:id="rId526" ref="A619"/>
    <hyperlink r:id="rId527" ref="B619"/>
    <hyperlink r:id="rId528" ref="A620"/>
    <hyperlink r:id="rId529" ref="B620"/>
    <hyperlink r:id="rId530" ref="A621"/>
    <hyperlink r:id="rId531" ref="B621"/>
    <hyperlink r:id="rId532" ref="A622"/>
    <hyperlink r:id="rId533" ref="B622"/>
    <hyperlink r:id="rId534" ref="A623"/>
    <hyperlink r:id="rId535" ref="B623"/>
    <hyperlink r:id="rId536" ref="A624"/>
    <hyperlink r:id="rId537" ref="B624"/>
    <hyperlink r:id="rId538" ref="A625"/>
    <hyperlink r:id="rId539" ref="B625"/>
    <hyperlink r:id="rId540" ref="A626"/>
    <hyperlink r:id="rId541" ref="B626"/>
    <hyperlink r:id="rId542" ref="A627"/>
    <hyperlink r:id="rId543" ref="B627"/>
    <hyperlink r:id="rId544" ref="A628"/>
    <hyperlink r:id="rId545" ref="B628"/>
    <hyperlink r:id="rId546" ref="A629"/>
    <hyperlink r:id="rId547" ref="B629"/>
    <hyperlink r:id="rId548" ref="A630"/>
    <hyperlink r:id="rId549" ref="B630"/>
    <hyperlink r:id="rId550" ref="A631"/>
    <hyperlink r:id="rId551" ref="B631"/>
    <hyperlink r:id="rId552" ref="A632"/>
    <hyperlink r:id="rId553" ref="B632"/>
    <hyperlink r:id="rId554" ref="A633"/>
    <hyperlink r:id="rId555" ref="B633"/>
    <hyperlink r:id="rId556" ref="A634"/>
    <hyperlink r:id="rId557" ref="B634"/>
    <hyperlink r:id="rId558" ref="A635"/>
    <hyperlink r:id="rId559" ref="B635"/>
    <hyperlink r:id="rId560" ref="A636"/>
    <hyperlink r:id="rId561" ref="B636"/>
    <hyperlink r:id="rId562" ref="A637"/>
    <hyperlink r:id="rId563" ref="B637"/>
    <hyperlink r:id="rId564" ref="A638"/>
    <hyperlink r:id="rId565" ref="B638"/>
    <hyperlink r:id="rId566" ref="A639"/>
    <hyperlink r:id="rId567" ref="B639"/>
    <hyperlink r:id="rId568" ref="A640"/>
    <hyperlink r:id="rId569" ref="B640"/>
    <hyperlink r:id="rId570" ref="A641"/>
    <hyperlink r:id="rId571" ref="B641"/>
    <hyperlink r:id="rId572" ref="A642"/>
    <hyperlink r:id="rId573" ref="B642"/>
    <hyperlink r:id="rId574" ref="A643"/>
    <hyperlink r:id="rId575" ref="B643"/>
    <hyperlink r:id="rId576" ref="A644"/>
    <hyperlink r:id="rId577" ref="B644"/>
    <hyperlink r:id="rId578" ref="A645"/>
    <hyperlink r:id="rId579" ref="B645"/>
    <hyperlink r:id="rId580" ref="A646"/>
    <hyperlink r:id="rId581" ref="B646"/>
    <hyperlink r:id="rId582" ref="A647"/>
    <hyperlink r:id="rId583" ref="B647"/>
    <hyperlink r:id="rId584" ref="A648"/>
    <hyperlink r:id="rId585" ref="B648"/>
    <hyperlink r:id="rId586" ref="A649"/>
    <hyperlink r:id="rId587" ref="B649"/>
    <hyperlink r:id="rId588" ref="A650"/>
    <hyperlink r:id="rId589" ref="B650"/>
    <hyperlink r:id="rId590" ref="A651"/>
    <hyperlink r:id="rId591" ref="B651"/>
    <hyperlink r:id="rId592" ref="A652"/>
    <hyperlink r:id="rId593" ref="B652"/>
    <hyperlink r:id="rId594" ref="A653"/>
    <hyperlink r:id="rId595" ref="B653"/>
    <hyperlink r:id="rId596" ref="A654"/>
    <hyperlink r:id="rId597" ref="B654"/>
    <hyperlink r:id="rId598" ref="A655"/>
    <hyperlink r:id="rId599" ref="B655"/>
    <hyperlink r:id="rId600" ref="A656"/>
    <hyperlink r:id="rId601" ref="B656"/>
    <hyperlink r:id="rId602" ref="A657"/>
    <hyperlink r:id="rId603" ref="B657"/>
    <hyperlink r:id="rId604" ref="A658"/>
    <hyperlink r:id="rId605" ref="B658"/>
    <hyperlink r:id="rId606" ref="A659"/>
    <hyperlink r:id="rId607" ref="B659"/>
    <hyperlink r:id="rId608" ref="A660"/>
    <hyperlink r:id="rId609" ref="B660"/>
    <hyperlink r:id="rId610" ref="A661"/>
    <hyperlink r:id="rId611" ref="B661"/>
    <hyperlink r:id="rId612" ref="A662"/>
    <hyperlink r:id="rId613" ref="B662"/>
    <hyperlink r:id="rId614" ref="A663"/>
    <hyperlink r:id="rId615" ref="B663"/>
    <hyperlink r:id="rId616" ref="A664"/>
    <hyperlink r:id="rId617" ref="B664"/>
    <hyperlink r:id="rId618" ref="A665"/>
    <hyperlink r:id="rId619" ref="B665"/>
    <hyperlink r:id="rId620" ref="A666"/>
    <hyperlink r:id="rId621" ref="B666"/>
    <hyperlink r:id="rId622" ref="A667"/>
    <hyperlink r:id="rId623" ref="B667"/>
    <hyperlink r:id="rId624" ref="A668"/>
    <hyperlink r:id="rId625" ref="B668"/>
    <hyperlink r:id="rId626" ref="A669"/>
    <hyperlink r:id="rId627" ref="B669"/>
    <hyperlink r:id="rId628" ref="A670"/>
    <hyperlink r:id="rId629" ref="B670"/>
    <hyperlink r:id="rId630" ref="A671"/>
    <hyperlink r:id="rId631" ref="B671"/>
    <hyperlink r:id="rId632" ref="A672"/>
    <hyperlink r:id="rId633" ref="B672"/>
    <hyperlink r:id="rId634" ref="A673"/>
    <hyperlink r:id="rId635" ref="B673"/>
    <hyperlink r:id="rId636" ref="A674"/>
    <hyperlink r:id="rId637" ref="B674"/>
    <hyperlink r:id="rId638" ref="A675"/>
    <hyperlink r:id="rId639" ref="B675"/>
    <hyperlink r:id="rId640" ref="A676"/>
    <hyperlink r:id="rId641" ref="B676"/>
    <hyperlink r:id="rId642" ref="A677"/>
    <hyperlink r:id="rId643" ref="B677"/>
    <hyperlink r:id="rId644" ref="A678"/>
    <hyperlink r:id="rId645" ref="B678"/>
    <hyperlink r:id="rId646" ref="A679"/>
    <hyperlink r:id="rId647" ref="B679"/>
    <hyperlink r:id="rId648" ref="A680"/>
    <hyperlink r:id="rId649" ref="B680"/>
    <hyperlink r:id="rId650" ref="A681"/>
    <hyperlink r:id="rId651" ref="B681"/>
    <hyperlink r:id="rId652" ref="A682"/>
    <hyperlink r:id="rId653" ref="B682"/>
    <hyperlink r:id="rId654" ref="A683"/>
    <hyperlink r:id="rId655" ref="B683"/>
    <hyperlink r:id="rId656" ref="A684"/>
    <hyperlink r:id="rId657" ref="B684"/>
    <hyperlink r:id="rId658" ref="A685"/>
    <hyperlink r:id="rId659" ref="B685"/>
    <hyperlink r:id="rId660" ref="A686"/>
    <hyperlink r:id="rId661" ref="B686"/>
    <hyperlink r:id="rId662" ref="A687"/>
    <hyperlink r:id="rId663" ref="B687"/>
    <hyperlink r:id="rId664" ref="A688"/>
    <hyperlink r:id="rId665" ref="B688"/>
    <hyperlink r:id="rId666" ref="A689"/>
    <hyperlink r:id="rId667" ref="B689"/>
    <hyperlink r:id="rId668" ref="A690"/>
    <hyperlink r:id="rId669" ref="B690"/>
    <hyperlink r:id="rId670" ref="A691"/>
    <hyperlink r:id="rId671" ref="B691"/>
    <hyperlink r:id="rId672" ref="A692"/>
    <hyperlink r:id="rId673" ref="B692"/>
    <hyperlink r:id="rId674" ref="A693"/>
    <hyperlink r:id="rId675" ref="B693"/>
    <hyperlink r:id="rId676" ref="A694"/>
    <hyperlink r:id="rId677" ref="B694"/>
    <hyperlink r:id="rId678" ref="A695"/>
    <hyperlink r:id="rId679" ref="B695"/>
    <hyperlink r:id="rId680" ref="A696"/>
    <hyperlink r:id="rId681" ref="B696"/>
    <hyperlink r:id="rId682" ref="A697"/>
    <hyperlink r:id="rId683" ref="B697"/>
    <hyperlink r:id="rId684" ref="A698"/>
    <hyperlink r:id="rId685" ref="B698"/>
    <hyperlink r:id="rId686" ref="A699"/>
    <hyperlink r:id="rId687" ref="B699"/>
    <hyperlink r:id="rId688" ref="A700"/>
    <hyperlink r:id="rId689" ref="B700"/>
    <hyperlink r:id="rId690" ref="A701"/>
    <hyperlink r:id="rId691" ref="B701"/>
    <hyperlink r:id="rId692" ref="A702"/>
    <hyperlink r:id="rId693" ref="B702"/>
    <hyperlink r:id="rId694" ref="A703"/>
    <hyperlink r:id="rId695" ref="B703"/>
    <hyperlink r:id="rId696" ref="A704"/>
    <hyperlink r:id="rId697" ref="B704"/>
    <hyperlink r:id="rId698" ref="A705"/>
    <hyperlink r:id="rId699" ref="B705"/>
    <hyperlink r:id="rId700" ref="A706"/>
    <hyperlink r:id="rId701" ref="B706"/>
    <hyperlink r:id="rId702" ref="A707"/>
    <hyperlink r:id="rId703" ref="B707"/>
    <hyperlink r:id="rId704" ref="A708"/>
    <hyperlink r:id="rId705" ref="B708"/>
    <hyperlink r:id="rId706" ref="A709"/>
    <hyperlink r:id="rId707" ref="B709"/>
  </hyperlinks>
  <printOptions/>
  <pageMargins bottom="0.75" footer="0.0" header="0.0" left="0.7" right="0.7" top="0.75"/>
  <pageSetup orientation="landscape"/>
  <headerFooter>
    <oddFooter>&amp;C&amp;P/</oddFooter>
  </headerFooter>
  <drawing r:id="rId70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10.29"/>
    <col customWidth="1" min="2" max="2" width="46.29"/>
    <col customWidth="1" min="3" max="3" width="17.71"/>
    <col customWidth="1" min="4" max="4" width="38.0"/>
    <col customWidth="1" min="5" max="5" width="19.14"/>
    <col customWidth="1" min="6" max="6" width="17.29"/>
    <col customWidth="1" min="7" max="7" width="12.14"/>
    <col customWidth="1" min="8" max="8" width="45.57"/>
    <col customWidth="1" min="9" max="18" width="9.14"/>
    <col customWidth="1" min="19" max="26" width="8.0"/>
  </cols>
  <sheetData>
    <row r="1" ht="26.25" customHeight="1">
      <c r="A1" s="1" t="s">
        <v>0</v>
      </c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  <c r="U2" s="8"/>
      <c r="V2" s="8"/>
      <c r="W2" s="8"/>
      <c r="X2" s="8"/>
      <c r="Y2" s="8"/>
      <c r="Z2" s="8"/>
    </row>
    <row r="3" ht="12.75" customHeight="1">
      <c r="A3" s="9" t="s">
        <v>2</v>
      </c>
      <c r="H3" s="10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</row>
    <row r="4" ht="12.75" customHeight="1">
      <c r="A4" s="122"/>
      <c r="B4" s="123"/>
      <c r="C4" s="13"/>
      <c r="D4" s="124"/>
      <c r="E4" s="124"/>
      <c r="F4" s="124"/>
      <c r="G4" s="12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  <c r="U4" s="8"/>
      <c r="V4" s="8"/>
      <c r="W4" s="8"/>
      <c r="X4" s="8"/>
      <c r="Y4" s="8"/>
      <c r="Z4" s="8"/>
    </row>
    <row r="5" ht="15.75" customHeight="1">
      <c r="A5" s="125" t="s">
        <v>3</v>
      </c>
      <c r="B5" s="126" t="s">
        <v>4</v>
      </c>
      <c r="C5" s="127" t="s">
        <v>5</v>
      </c>
      <c r="D5" s="127" t="s">
        <v>6</v>
      </c>
      <c r="E5" s="127" t="s">
        <v>7</v>
      </c>
      <c r="F5" s="127" t="s">
        <v>8</v>
      </c>
      <c r="G5" s="127" t="s">
        <v>9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</row>
    <row r="6" ht="23.25" customHeight="1">
      <c r="A6" s="128" t="s">
        <v>10</v>
      </c>
      <c r="B6" s="129" t="s">
        <v>11</v>
      </c>
      <c r="C6" s="130"/>
      <c r="D6" s="130"/>
      <c r="E6" s="130"/>
      <c r="F6" s="130"/>
      <c r="G6" s="13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20"/>
      <c r="U6" s="20"/>
      <c r="V6" s="20"/>
      <c r="W6" s="20"/>
      <c r="X6" s="20"/>
      <c r="Y6" s="20"/>
      <c r="Z6" s="20"/>
    </row>
    <row r="7" ht="51.0" customHeight="1">
      <c r="A7" s="131" t="s">
        <v>12</v>
      </c>
      <c r="B7" s="132" t="s">
        <v>2294</v>
      </c>
      <c r="C7" s="133" t="s">
        <v>13</v>
      </c>
      <c r="D7" s="133" t="s">
        <v>14</v>
      </c>
      <c r="E7" s="133" t="s">
        <v>15</v>
      </c>
      <c r="F7" s="133" t="s">
        <v>16</v>
      </c>
      <c r="G7" s="134">
        <v>38407.0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  <c r="T7" s="30"/>
      <c r="U7" s="30"/>
      <c r="V7" s="30"/>
      <c r="W7" s="30"/>
      <c r="X7" s="30"/>
      <c r="Y7" s="30"/>
      <c r="Z7" s="30"/>
    </row>
    <row r="8" ht="42.75" customHeight="1">
      <c r="A8" s="135" t="s">
        <v>17</v>
      </c>
      <c r="B8" s="136" t="s">
        <v>2295</v>
      </c>
      <c r="C8" s="137" t="s">
        <v>18</v>
      </c>
      <c r="D8" s="137" t="s">
        <v>19</v>
      </c>
      <c r="E8" s="137" t="s">
        <v>20</v>
      </c>
      <c r="F8" s="137" t="s">
        <v>21</v>
      </c>
      <c r="G8" s="138">
        <v>38385.0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  <c r="T8" s="30"/>
      <c r="U8" s="30"/>
      <c r="V8" s="30"/>
      <c r="W8" s="30"/>
      <c r="X8" s="30"/>
      <c r="Y8" s="30"/>
      <c r="Z8" s="30"/>
    </row>
    <row r="9" ht="42.75" customHeight="1">
      <c r="A9" s="139" t="s">
        <v>22</v>
      </c>
      <c r="B9" s="119" t="s">
        <v>2296</v>
      </c>
      <c r="C9" s="38" t="s">
        <v>23</v>
      </c>
      <c r="D9" s="38" t="s">
        <v>24</v>
      </c>
      <c r="E9" s="38" t="s">
        <v>25</v>
      </c>
      <c r="F9" s="38" t="s">
        <v>26</v>
      </c>
      <c r="G9" s="140">
        <v>38385.0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30"/>
      <c r="U9" s="30"/>
      <c r="V9" s="30"/>
      <c r="W9" s="30"/>
      <c r="X9" s="30"/>
      <c r="Y9" s="30"/>
      <c r="Z9" s="30"/>
    </row>
    <row r="10" ht="38.25" customHeight="1">
      <c r="A10" s="135" t="s">
        <v>27</v>
      </c>
      <c r="B10" s="136" t="s">
        <v>2297</v>
      </c>
      <c r="C10" s="137" t="s">
        <v>28</v>
      </c>
      <c r="D10" s="137" t="s">
        <v>29</v>
      </c>
      <c r="E10" s="137" t="s">
        <v>30</v>
      </c>
      <c r="F10" s="137" t="s">
        <v>31</v>
      </c>
      <c r="G10" s="138">
        <v>38121.0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30"/>
      <c r="U10" s="30"/>
      <c r="V10" s="30"/>
      <c r="W10" s="30"/>
      <c r="X10" s="30"/>
      <c r="Y10" s="30"/>
      <c r="Z10" s="30"/>
    </row>
    <row r="11" ht="42.75" customHeight="1">
      <c r="A11" s="139" t="s">
        <v>32</v>
      </c>
      <c r="B11" s="119" t="s">
        <v>2298</v>
      </c>
      <c r="C11" s="38" t="s">
        <v>33</v>
      </c>
      <c r="D11" s="38" t="s">
        <v>34</v>
      </c>
      <c r="E11" s="38" t="s">
        <v>35</v>
      </c>
      <c r="F11" s="38" t="s">
        <v>36</v>
      </c>
      <c r="G11" s="140">
        <v>38343.0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  <c r="T11" s="30"/>
      <c r="U11" s="30"/>
      <c r="V11" s="30"/>
      <c r="W11" s="30"/>
      <c r="X11" s="30"/>
      <c r="Y11" s="30"/>
      <c r="Z11" s="30"/>
    </row>
    <row r="12" ht="63.75" customHeight="1">
      <c r="A12" s="135" t="s">
        <v>37</v>
      </c>
      <c r="B12" s="136" t="s">
        <v>2299</v>
      </c>
      <c r="C12" s="137" t="s">
        <v>38</v>
      </c>
      <c r="D12" s="137" t="s">
        <v>39</v>
      </c>
      <c r="E12" s="137" t="s">
        <v>40</v>
      </c>
      <c r="F12" s="137" t="s">
        <v>41</v>
      </c>
      <c r="G12" s="138">
        <v>38343.0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T12" s="30"/>
      <c r="U12" s="30"/>
      <c r="V12" s="30"/>
      <c r="W12" s="30"/>
      <c r="X12" s="30"/>
      <c r="Y12" s="30"/>
      <c r="Z12" s="30"/>
    </row>
    <row r="13" ht="57.0" customHeight="1">
      <c r="A13" s="139" t="s">
        <v>42</v>
      </c>
      <c r="B13" s="119" t="s">
        <v>2300</v>
      </c>
      <c r="C13" s="38" t="s">
        <v>43</v>
      </c>
      <c r="D13" s="38" t="s">
        <v>44</v>
      </c>
      <c r="E13" s="38" t="s">
        <v>45</v>
      </c>
      <c r="F13" s="38" t="s">
        <v>31</v>
      </c>
      <c r="G13" s="140">
        <v>38104.0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</row>
    <row r="14" ht="42.75" customHeight="1">
      <c r="A14" s="135" t="s">
        <v>46</v>
      </c>
      <c r="B14" s="136" t="s">
        <v>2301</v>
      </c>
      <c r="C14" s="137" t="s">
        <v>47</v>
      </c>
      <c r="D14" s="137" t="s">
        <v>48</v>
      </c>
      <c r="E14" s="137" t="s">
        <v>49</v>
      </c>
      <c r="F14" s="137" t="s">
        <v>50</v>
      </c>
      <c r="G14" s="138">
        <v>38127.0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  <c r="T14" s="30"/>
      <c r="U14" s="30"/>
      <c r="V14" s="30"/>
      <c r="W14" s="30"/>
      <c r="X14" s="30"/>
      <c r="Y14" s="30"/>
      <c r="Z14" s="30"/>
    </row>
    <row r="15" ht="71.25" customHeight="1">
      <c r="A15" s="139" t="s">
        <v>51</v>
      </c>
      <c r="B15" s="119" t="s">
        <v>2302</v>
      </c>
      <c r="C15" s="38" t="s">
        <v>52</v>
      </c>
      <c r="D15" s="38" t="s">
        <v>53</v>
      </c>
      <c r="E15" s="38" t="s">
        <v>54</v>
      </c>
      <c r="F15" s="38" t="s">
        <v>41</v>
      </c>
      <c r="G15" s="141">
        <v>2005.0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T15" s="30"/>
      <c r="U15" s="30"/>
      <c r="V15" s="30"/>
      <c r="W15" s="30"/>
      <c r="X15" s="30"/>
      <c r="Y15" s="30"/>
      <c r="Z15" s="30"/>
    </row>
    <row r="16" ht="42.75" customHeight="1">
      <c r="A16" s="135" t="s">
        <v>55</v>
      </c>
      <c r="B16" s="136" t="s">
        <v>2303</v>
      </c>
      <c r="C16" s="137" t="s">
        <v>56</v>
      </c>
      <c r="D16" s="137" t="s">
        <v>57</v>
      </c>
      <c r="E16" s="137" t="s">
        <v>58</v>
      </c>
      <c r="F16" s="137" t="s">
        <v>59</v>
      </c>
      <c r="G16" s="138">
        <v>38321.0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30"/>
      <c r="U16" s="30"/>
      <c r="V16" s="30"/>
      <c r="W16" s="30"/>
      <c r="X16" s="30"/>
      <c r="Y16" s="30"/>
      <c r="Z16" s="30"/>
    </row>
    <row r="17" ht="51.0" customHeight="1">
      <c r="A17" s="139" t="s">
        <v>60</v>
      </c>
      <c r="B17" s="119" t="s">
        <v>2304</v>
      </c>
      <c r="C17" s="38" t="s">
        <v>61</v>
      </c>
      <c r="D17" s="38" t="s">
        <v>62</v>
      </c>
      <c r="E17" s="38" t="s">
        <v>63</v>
      </c>
      <c r="F17" s="38" t="s">
        <v>64</v>
      </c>
      <c r="G17" s="140">
        <v>38321.0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T17" s="30"/>
      <c r="U17" s="30"/>
      <c r="V17" s="30"/>
      <c r="W17" s="30"/>
      <c r="X17" s="30"/>
      <c r="Y17" s="30"/>
      <c r="Z17" s="30"/>
    </row>
    <row r="18" ht="51.0" customHeight="1">
      <c r="A18" s="135" t="s">
        <v>65</v>
      </c>
      <c r="B18" s="136" t="s">
        <v>2305</v>
      </c>
      <c r="C18" s="137" t="s">
        <v>33</v>
      </c>
      <c r="D18" s="137" t="s">
        <v>66</v>
      </c>
      <c r="E18" s="137" t="s">
        <v>67</v>
      </c>
      <c r="F18" s="137" t="s">
        <v>68</v>
      </c>
      <c r="G18" s="138">
        <v>38321.0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  <c r="T18" s="30"/>
      <c r="U18" s="30"/>
      <c r="V18" s="30"/>
      <c r="W18" s="30"/>
      <c r="X18" s="30"/>
      <c r="Y18" s="30"/>
      <c r="Z18" s="30"/>
    </row>
    <row r="19" ht="42.75" customHeight="1">
      <c r="A19" s="139" t="s">
        <v>69</v>
      </c>
      <c r="B19" s="119" t="s">
        <v>2306</v>
      </c>
      <c r="C19" s="38" t="s">
        <v>70</v>
      </c>
      <c r="D19" s="38" t="s">
        <v>2307</v>
      </c>
      <c r="E19" s="38" t="s">
        <v>72</v>
      </c>
      <c r="F19" s="38" t="s">
        <v>73</v>
      </c>
      <c r="G19" s="140">
        <v>38217.0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  <c r="T19" s="30"/>
      <c r="U19" s="30"/>
      <c r="V19" s="30"/>
      <c r="W19" s="30"/>
      <c r="X19" s="30"/>
      <c r="Y19" s="30"/>
      <c r="Z19" s="30"/>
    </row>
    <row r="20" ht="38.25" customHeight="1">
      <c r="A20" s="135" t="s">
        <v>74</v>
      </c>
      <c r="B20" s="136" t="s">
        <v>2308</v>
      </c>
      <c r="C20" s="137" t="s">
        <v>18</v>
      </c>
      <c r="D20" s="137" t="s">
        <v>75</v>
      </c>
      <c r="E20" s="137" t="s">
        <v>76</v>
      </c>
      <c r="F20" s="137" t="s">
        <v>31</v>
      </c>
      <c r="G20" s="138">
        <v>38244.0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30"/>
      <c r="U20" s="30"/>
      <c r="V20" s="30"/>
      <c r="W20" s="30"/>
      <c r="X20" s="30"/>
      <c r="Y20" s="30"/>
      <c r="Z20" s="30"/>
    </row>
    <row r="21" ht="42.75" customHeight="1">
      <c r="A21" s="139" t="s">
        <v>77</v>
      </c>
      <c r="B21" s="119" t="s">
        <v>2309</v>
      </c>
      <c r="C21" s="38" t="s">
        <v>23</v>
      </c>
      <c r="D21" s="38" t="s">
        <v>2310</v>
      </c>
      <c r="E21" s="38" t="s">
        <v>79</v>
      </c>
      <c r="F21" s="38" t="s">
        <v>80</v>
      </c>
      <c r="G21" s="140">
        <v>38191.0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  <c r="T21" s="30"/>
      <c r="U21" s="30"/>
      <c r="V21" s="30"/>
      <c r="W21" s="30"/>
      <c r="X21" s="30"/>
      <c r="Y21" s="30"/>
      <c r="Z21" s="30"/>
    </row>
    <row r="22" ht="38.25" customHeight="1">
      <c r="A22" s="135" t="s">
        <v>81</v>
      </c>
      <c r="B22" s="136" t="s">
        <v>2311</v>
      </c>
      <c r="C22" s="137" t="s">
        <v>61</v>
      </c>
      <c r="D22" s="137" t="s">
        <v>82</v>
      </c>
      <c r="E22" s="137" t="s">
        <v>83</v>
      </c>
      <c r="F22" s="137" t="s">
        <v>84</v>
      </c>
      <c r="G22" s="138">
        <v>38321.0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  <c r="T22" s="30"/>
      <c r="U22" s="30"/>
      <c r="V22" s="30"/>
      <c r="W22" s="30"/>
      <c r="X22" s="30"/>
      <c r="Y22" s="30"/>
      <c r="Z22" s="30"/>
    </row>
    <row r="23" ht="57.0" customHeight="1">
      <c r="A23" s="139" t="s">
        <v>85</v>
      </c>
      <c r="B23" s="119" t="s">
        <v>2312</v>
      </c>
      <c r="C23" s="38" t="s">
        <v>13</v>
      </c>
      <c r="D23" s="38" t="s">
        <v>86</v>
      </c>
      <c r="E23" s="38" t="s">
        <v>87</v>
      </c>
      <c r="F23" s="38" t="s">
        <v>88</v>
      </c>
      <c r="G23" s="140">
        <v>38358.0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30"/>
      <c r="U23" s="30"/>
      <c r="V23" s="30"/>
      <c r="W23" s="30"/>
      <c r="X23" s="30"/>
      <c r="Y23" s="30"/>
      <c r="Z23" s="30"/>
    </row>
    <row r="24" ht="28.5" customHeight="1">
      <c r="A24" s="135" t="s">
        <v>89</v>
      </c>
      <c r="B24" s="136" t="s">
        <v>2313</v>
      </c>
      <c r="C24" s="137" t="s">
        <v>47</v>
      </c>
      <c r="D24" s="137" t="s">
        <v>90</v>
      </c>
      <c r="E24" s="137" t="s">
        <v>91</v>
      </c>
      <c r="F24" s="137" t="s">
        <v>73</v>
      </c>
      <c r="G24" s="138">
        <v>38077.0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30"/>
      <c r="V24" s="30"/>
      <c r="W24" s="30"/>
      <c r="X24" s="30"/>
      <c r="Y24" s="30"/>
      <c r="Z24" s="30"/>
    </row>
    <row r="25" ht="51.0" customHeight="1">
      <c r="A25" s="139" t="s">
        <v>92</v>
      </c>
      <c r="B25" s="119" t="s">
        <v>2314</v>
      </c>
      <c r="C25" s="38" t="s">
        <v>18</v>
      </c>
      <c r="D25" s="38" t="s">
        <v>93</v>
      </c>
      <c r="E25" s="38" t="s">
        <v>94</v>
      </c>
      <c r="F25" s="38" t="s">
        <v>26</v>
      </c>
      <c r="G25" s="140">
        <v>38321.0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30"/>
      <c r="U25" s="30"/>
      <c r="V25" s="30"/>
      <c r="W25" s="30"/>
      <c r="X25" s="30"/>
      <c r="Y25" s="30"/>
      <c r="Z25" s="30"/>
    </row>
    <row r="26" ht="51.0" customHeight="1">
      <c r="A26" s="135" t="s">
        <v>95</v>
      </c>
      <c r="B26" s="136" t="s">
        <v>2315</v>
      </c>
      <c r="C26" s="137" t="s">
        <v>96</v>
      </c>
      <c r="D26" s="137" t="s">
        <v>97</v>
      </c>
      <c r="E26" s="137" t="s">
        <v>98</v>
      </c>
      <c r="F26" s="137" t="s">
        <v>88</v>
      </c>
      <c r="G26" s="138">
        <v>38273.0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30"/>
      <c r="U26" s="30"/>
      <c r="V26" s="30"/>
      <c r="W26" s="30"/>
      <c r="X26" s="30"/>
      <c r="Y26" s="30"/>
      <c r="Z26" s="30"/>
    </row>
    <row r="27" ht="38.25" customHeight="1">
      <c r="A27" s="139" t="s">
        <v>99</v>
      </c>
      <c r="B27" s="119" t="s">
        <v>2316</v>
      </c>
      <c r="C27" s="38" t="s">
        <v>47</v>
      </c>
      <c r="D27" s="38" t="s">
        <v>100</v>
      </c>
      <c r="E27" s="38" t="s">
        <v>101</v>
      </c>
      <c r="F27" s="38" t="s">
        <v>50</v>
      </c>
      <c r="G27" s="140">
        <v>38244.0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30"/>
      <c r="U27" s="30"/>
      <c r="V27" s="30"/>
      <c r="W27" s="30"/>
      <c r="X27" s="30"/>
      <c r="Y27" s="30"/>
      <c r="Z27" s="30"/>
    </row>
    <row r="28" ht="42.75" customHeight="1">
      <c r="A28" s="135" t="s">
        <v>102</v>
      </c>
      <c r="B28" s="136" t="s">
        <v>2317</v>
      </c>
      <c r="C28" s="137" t="s">
        <v>61</v>
      </c>
      <c r="D28" s="137" t="s">
        <v>103</v>
      </c>
      <c r="E28" s="137" t="s">
        <v>104</v>
      </c>
      <c r="F28" s="137" t="s">
        <v>105</v>
      </c>
      <c r="G28" s="138">
        <v>38321.0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30"/>
      <c r="U28" s="30"/>
      <c r="V28" s="30"/>
      <c r="W28" s="30"/>
      <c r="X28" s="30"/>
      <c r="Y28" s="30"/>
      <c r="Z28" s="30"/>
    </row>
    <row r="29" ht="51.0" customHeight="1">
      <c r="A29" s="139" t="s">
        <v>106</v>
      </c>
      <c r="B29" s="119" t="s">
        <v>2318</v>
      </c>
      <c r="C29" s="38" t="s">
        <v>33</v>
      </c>
      <c r="D29" s="38" t="s">
        <v>107</v>
      </c>
      <c r="E29" s="38" t="s">
        <v>108</v>
      </c>
      <c r="F29" s="38" t="s">
        <v>109</v>
      </c>
      <c r="G29" s="140">
        <v>38321.0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30"/>
      <c r="U29" s="30"/>
      <c r="V29" s="30"/>
      <c r="W29" s="30"/>
      <c r="X29" s="30"/>
      <c r="Y29" s="30"/>
      <c r="Z29" s="30"/>
    </row>
    <row r="30" ht="42.75" customHeight="1">
      <c r="A30" s="135" t="s">
        <v>110</v>
      </c>
      <c r="B30" s="136" t="s">
        <v>2319</v>
      </c>
      <c r="C30" s="137" t="s">
        <v>111</v>
      </c>
      <c r="D30" s="137" t="s">
        <v>2320</v>
      </c>
      <c r="E30" s="137" t="s">
        <v>113</v>
      </c>
      <c r="F30" s="137" t="s">
        <v>114</v>
      </c>
      <c r="G30" s="138">
        <v>38188.0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0"/>
      <c r="U30" s="30"/>
      <c r="V30" s="30"/>
      <c r="W30" s="30"/>
      <c r="X30" s="30"/>
      <c r="Y30" s="30"/>
      <c r="Z30" s="30"/>
    </row>
    <row r="31" ht="28.5" customHeight="1">
      <c r="A31" s="139" t="s">
        <v>115</v>
      </c>
      <c r="B31" s="119" t="s">
        <v>2321</v>
      </c>
      <c r="C31" s="38" t="s">
        <v>116</v>
      </c>
      <c r="D31" s="38" t="s">
        <v>117</v>
      </c>
      <c r="E31" s="38" t="s">
        <v>118</v>
      </c>
      <c r="F31" s="38" t="s">
        <v>119</v>
      </c>
      <c r="G31" s="140">
        <v>38322.0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30"/>
      <c r="U31" s="30"/>
      <c r="V31" s="30"/>
      <c r="W31" s="30"/>
      <c r="X31" s="30"/>
      <c r="Y31" s="30"/>
      <c r="Z31" s="30"/>
    </row>
    <row r="32" ht="42.75" customHeight="1">
      <c r="A32" s="135" t="s">
        <v>120</v>
      </c>
      <c r="B32" s="136" t="s">
        <v>2322</v>
      </c>
      <c r="C32" s="137" t="s">
        <v>56</v>
      </c>
      <c r="D32" s="137" t="s">
        <v>121</v>
      </c>
      <c r="E32" s="137" t="s">
        <v>122</v>
      </c>
      <c r="F32" s="137" t="s">
        <v>123</v>
      </c>
      <c r="G32" s="138">
        <v>38321.0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  <c r="T32" s="30"/>
      <c r="U32" s="30"/>
      <c r="V32" s="30"/>
      <c r="W32" s="30"/>
      <c r="X32" s="30"/>
      <c r="Y32" s="30"/>
      <c r="Z32" s="30"/>
    </row>
    <row r="33" ht="28.5" customHeight="1">
      <c r="A33" s="139" t="s">
        <v>124</v>
      </c>
      <c r="B33" s="119" t="s">
        <v>2323</v>
      </c>
      <c r="C33" s="38" t="s">
        <v>33</v>
      </c>
      <c r="D33" s="38" t="s">
        <v>125</v>
      </c>
      <c r="E33" s="38" t="s">
        <v>126</v>
      </c>
      <c r="F33" s="38" t="s">
        <v>109</v>
      </c>
      <c r="G33" s="140">
        <v>38140.0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0"/>
      <c r="T33" s="30"/>
      <c r="U33" s="30"/>
      <c r="V33" s="30"/>
      <c r="W33" s="30"/>
      <c r="X33" s="30"/>
      <c r="Y33" s="30"/>
      <c r="Z33" s="30"/>
    </row>
    <row r="34" ht="28.5" customHeight="1">
      <c r="A34" s="135" t="s">
        <v>127</v>
      </c>
      <c r="B34" s="136" t="s">
        <v>2324</v>
      </c>
      <c r="C34" s="137" t="s">
        <v>33</v>
      </c>
      <c r="D34" s="137" t="s">
        <v>128</v>
      </c>
      <c r="E34" s="137" t="s">
        <v>129</v>
      </c>
      <c r="F34" s="137" t="s">
        <v>109</v>
      </c>
      <c r="G34" s="138">
        <v>38321.0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30"/>
      <c r="U34" s="30"/>
      <c r="V34" s="30"/>
      <c r="W34" s="30"/>
      <c r="X34" s="30"/>
      <c r="Y34" s="30"/>
      <c r="Z34" s="30"/>
    </row>
    <row r="35" ht="38.25" customHeight="1">
      <c r="A35" s="139" t="s">
        <v>130</v>
      </c>
      <c r="B35" s="119" t="s">
        <v>2325</v>
      </c>
      <c r="C35" s="38" t="s">
        <v>61</v>
      </c>
      <c r="D35" s="38" t="s">
        <v>131</v>
      </c>
      <c r="E35" s="38" t="s">
        <v>132</v>
      </c>
      <c r="F35" s="38" t="s">
        <v>16</v>
      </c>
      <c r="G35" s="140">
        <v>38184.0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  <c r="T35" s="30"/>
      <c r="U35" s="30"/>
      <c r="V35" s="30"/>
      <c r="W35" s="30"/>
      <c r="X35" s="30"/>
      <c r="Y35" s="30"/>
      <c r="Z35" s="30"/>
    </row>
    <row r="36" ht="42.75" customHeight="1">
      <c r="A36" s="135" t="s">
        <v>133</v>
      </c>
      <c r="B36" s="136" t="s">
        <v>2326</v>
      </c>
      <c r="C36" s="137" t="s">
        <v>13</v>
      </c>
      <c r="D36" s="137" t="s">
        <v>2327</v>
      </c>
      <c r="E36" s="137" t="s">
        <v>135</v>
      </c>
      <c r="F36" s="137" t="s">
        <v>88</v>
      </c>
      <c r="G36" s="138">
        <v>38397.0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30"/>
      <c r="U36" s="30"/>
      <c r="V36" s="30"/>
      <c r="W36" s="30"/>
      <c r="X36" s="30"/>
      <c r="Y36" s="30"/>
      <c r="Z36" s="30"/>
    </row>
    <row r="37" ht="42.75" customHeight="1">
      <c r="A37" s="139" t="s">
        <v>136</v>
      </c>
      <c r="B37" s="119" t="s">
        <v>2328</v>
      </c>
      <c r="C37" s="38" t="s">
        <v>137</v>
      </c>
      <c r="D37" s="38" t="s">
        <v>138</v>
      </c>
      <c r="E37" s="38" t="s">
        <v>139</v>
      </c>
      <c r="F37" s="38" t="s">
        <v>140</v>
      </c>
      <c r="G37" s="140">
        <v>38404.0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0"/>
      <c r="T37" s="30"/>
      <c r="U37" s="30"/>
      <c r="V37" s="30"/>
      <c r="W37" s="30"/>
      <c r="X37" s="30"/>
      <c r="Y37" s="30"/>
      <c r="Z37" s="30"/>
    </row>
    <row r="38" ht="38.25" customHeight="1">
      <c r="A38" s="142" t="s">
        <v>2329</v>
      </c>
      <c r="B38" s="143" t="s">
        <v>2330</v>
      </c>
      <c r="C38" s="144"/>
      <c r="D38" s="144"/>
      <c r="E38" s="144" t="s">
        <v>2331</v>
      </c>
      <c r="F38" s="144" t="s">
        <v>109</v>
      </c>
      <c r="G38" s="145">
        <v>2004.0</v>
      </c>
      <c r="H38" s="146" t="s">
        <v>2332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51.0" customHeight="1">
      <c r="A39" s="142" t="s">
        <v>2333</v>
      </c>
      <c r="B39" s="147" t="s">
        <v>2334</v>
      </c>
      <c r="C39" s="143"/>
      <c r="D39" s="147"/>
      <c r="E39" s="147" t="s">
        <v>2335</v>
      </c>
      <c r="F39" s="147" t="s">
        <v>442</v>
      </c>
      <c r="G39" s="145">
        <v>2005.0</v>
      </c>
      <c r="H39" s="148" t="s">
        <v>2336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39.0" customHeight="1">
      <c r="A40" s="142" t="s">
        <v>2337</v>
      </c>
      <c r="B40" s="147" t="s">
        <v>2338</v>
      </c>
      <c r="C40" s="143" t="s">
        <v>252</v>
      </c>
      <c r="D40" s="147"/>
      <c r="E40" s="147" t="s">
        <v>2339</v>
      </c>
      <c r="F40" s="147" t="s">
        <v>2340</v>
      </c>
      <c r="G40" s="145">
        <v>2004.0</v>
      </c>
      <c r="H40" s="149" t="s">
        <v>2341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50.25" customHeight="1">
      <c r="A41" s="150" t="s">
        <v>141</v>
      </c>
      <c r="B41" s="151" t="s">
        <v>2342</v>
      </c>
      <c r="C41" s="152" t="s">
        <v>33</v>
      </c>
      <c r="D41" s="152" t="s">
        <v>142</v>
      </c>
      <c r="E41" s="153" t="s">
        <v>143</v>
      </c>
      <c r="F41" s="152" t="s">
        <v>68</v>
      </c>
      <c r="G41" s="154">
        <v>38656.0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42.75" customHeight="1">
      <c r="A42" s="139" t="s">
        <v>144</v>
      </c>
      <c r="B42" s="119" t="s">
        <v>2343</v>
      </c>
      <c r="C42" s="38" t="s">
        <v>56</v>
      </c>
      <c r="D42" s="38" t="s">
        <v>145</v>
      </c>
      <c r="E42" s="38" t="s">
        <v>146</v>
      </c>
      <c r="F42" s="38" t="s">
        <v>147</v>
      </c>
      <c r="G42" s="140">
        <v>38653.0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30"/>
      <c r="U42" s="30"/>
      <c r="V42" s="30"/>
      <c r="W42" s="30"/>
      <c r="X42" s="30"/>
      <c r="Y42" s="30"/>
      <c r="Z42" s="30"/>
    </row>
    <row r="43" ht="57.0" customHeight="1">
      <c r="A43" s="135" t="s">
        <v>148</v>
      </c>
      <c r="B43" s="136" t="s">
        <v>2344</v>
      </c>
      <c r="C43" s="137" t="s">
        <v>23</v>
      </c>
      <c r="D43" s="137" t="s">
        <v>149</v>
      </c>
      <c r="E43" s="137" t="s">
        <v>150</v>
      </c>
      <c r="F43" s="137" t="s">
        <v>16</v>
      </c>
      <c r="G43" s="138">
        <v>38651.0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0"/>
      <c r="T43" s="30"/>
      <c r="U43" s="30"/>
      <c r="V43" s="30"/>
      <c r="W43" s="30"/>
      <c r="X43" s="30"/>
      <c r="Y43" s="30"/>
      <c r="Z43" s="30"/>
    </row>
    <row r="44" ht="28.5" customHeight="1">
      <c r="A44" s="139" t="s">
        <v>151</v>
      </c>
      <c r="B44" s="119" t="s">
        <v>2345</v>
      </c>
      <c r="C44" s="38" t="s">
        <v>70</v>
      </c>
      <c r="D44" s="38" t="s">
        <v>152</v>
      </c>
      <c r="E44" s="38" t="s">
        <v>153</v>
      </c>
      <c r="F44" s="38" t="s">
        <v>16</v>
      </c>
      <c r="G44" s="140">
        <v>38660.0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0"/>
      <c r="T44" s="30"/>
      <c r="U44" s="30"/>
      <c r="V44" s="30"/>
      <c r="W44" s="30"/>
      <c r="X44" s="30"/>
      <c r="Y44" s="30"/>
      <c r="Z44" s="30"/>
    </row>
    <row r="45" ht="51.0" customHeight="1">
      <c r="A45" s="135" t="s">
        <v>154</v>
      </c>
      <c r="B45" s="136" t="s">
        <v>2346</v>
      </c>
      <c r="C45" s="137" t="s">
        <v>96</v>
      </c>
      <c r="D45" s="137" t="s">
        <v>155</v>
      </c>
      <c r="E45" s="137" t="s">
        <v>156</v>
      </c>
      <c r="F45" s="137" t="s">
        <v>157</v>
      </c>
      <c r="G45" s="155">
        <v>2005.0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  <c r="T45" s="30"/>
      <c r="U45" s="30"/>
      <c r="V45" s="30"/>
      <c r="W45" s="30"/>
      <c r="X45" s="30"/>
      <c r="Y45" s="30"/>
      <c r="Z45" s="30"/>
    </row>
    <row r="46" ht="42.75" customHeight="1">
      <c r="A46" s="139" t="s">
        <v>158</v>
      </c>
      <c r="B46" s="119" t="s">
        <v>2347</v>
      </c>
      <c r="C46" s="38" t="s">
        <v>159</v>
      </c>
      <c r="D46" s="38" t="s">
        <v>160</v>
      </c>
      <c r="E46" s="38" t="s">
        <v>161</v>
      </c>
      <c r="F46" s="38" t="s">
        <v>162</v>
      </c>
      <c r="G46" s="140">
        <v>38657.0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0"/>
      <c r="T46" s="30"/>
      <c r="U46" s="30"/>
      <c r="V46" s="30"/>
      <c r="W46" s="30"/>
      <c r="X46" s="30"/>
      <c r="Y46" s="30"/>
      <c r="Z46" s="30"/>
    </row>
    <row r="47" ht="28.5" customHeight="1">
      <c r="A47" s="156" t="s">
        <v>2348</v>
      </c>
      <c r="B47" s="136" t="s">
        <v>2349</v>
      </c>
      <c r="C47" s="137" t="s">
        <v>18</v>
      </c>
      <c r="D47" s="137" t="s">
        <v>163</v>
      </c>
      <c r="E47" s="137" t="s">
        <v>164</v>
      </c>
      <c r="F47" s="137" t="s">
        <v>165</v>
      </c>
      <c r="G47" s="138">
        <v>38378.0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  <c r="W47" s="30"/>
      <c r="X47" s="30"/>
      <c r="Y47" s="30"/>
      <c r="Z47" s="30"/>
    </row>
    <row r="48" ht="85.5" customHeight="1">
      <c r="A48" s="139" t="s">
        <v>166</v>
      </c>
      <c r="B48" s="119" t="s">
        <v>2350</v>
      </c>
      <c r="C48" s="38" t="s">
        <v>167</v>
      </c>
      <c r="D48" s="38" t="s">
        <v>168</v>
      </c>
      <c r="E48" s="38" t="s">
        <v>169</v>
      </c>
      <c r="F48" s="38" t="s">
        <v>170</v>
      </c>
      <c r="G48" s="140">
        <v>38610.0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0"/>
      <c r="T48" s="30"/>
      <c r="U48" s="30"/>
      <c r="V48" s="30"/>
      <c r="W48" s="30"/>
      <c r="X48" s="30"/>
      <c r="Y48" s="30"/>
      <c r="Z48" s="30"/>
    </row>
    <row r="49" ht="71.25" customHeight="1">
      <c r="A49" s="135" t="s">
        <v>171</v>
      </c>
      <c r="B49" s="136" t="s">
        <v>2351</v>
      </c>
      <c r="C49" s="137" t="s">
        <v>137</v>
      </c>
      <c r="D49" s="137" t="s">
        <v>172</v>
      </c>
      <c r="E49" s="137" t="s">
        <v>173</v>
      </c>
      <c r="F49" s="137" t="s">
        <v>123</v>
      </c>
      <c r="G49" s="138">
        <v>38686.0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0"/>
      <c r="T49" s="30"/>
      <c r="U49" s="30"/>
      <c r="V49" s="30"/>
      <c r="W49" s="30"/>
      <c r="X49" s="30"/>
      <c r="Y49" s="30"/>
      <c r="Z49" s="30"/>
    </row>
    <row r="50" ht="42.75" customHeight="1">
      <c r="A50" s="139" t="s">
        <v>174</v>
      </c>
      <c r="B50" s="119" t="s">
        <v>2352</v>
      </c>
      <c r="C50" s="38" t="s">
        <v>56</v>
      </c>
      <c r="D50" s="38" t="s">
        <v>175</v>
      </c>
      <c r="E50" s="38" t="s">
        <v>176</v>
      </c>
      <c r="F50" s="38" t="s">
        <v>88</v>
      </c>
      <c r="G50" s="140">
        <v>38656.0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0"/>
      <c r="T50" s="30"/>
      <c r="U50" s="30"/>
      <c r="V50" s="30"/>
      <c r="W50" s="30"/>
      <c r="X50" s="30"/>
      <c r="Y50" s="30"/>
      <c r="Z50" s="30"/>
    </row>
    <row r="51" ht="51.0" customHeight="1">
      <c r="A51" s="135" t="s">
        <v>177</v>
      </c>
      <c r="B51" s="136" t="s">
        <v>2353</v>
      </c>
      <c r="C51" s="137" t="s">
        <v>111</v>
      </c>
      <c r="D51" s="137" t="s">
        <v>178</v>
      </c>
      <c r="E51" s="137" t="s">
        <v>179</v>
      </c>
      <c r="F51" s="137" t="s">
        <v>180</v>
      </c>
      <c r="G51" s="138">
        <v>38406.0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  <c r="T51" s="30"/>
      <c r="U51" s="30"/>
      <c r="V51" s="30"/>
      <c r="W51" s="30"/>
      <c r="X51" s="30"/>
      <c r="Y51" s="30"/>
      <c r="Z51" s="30"/>
    </row>
    <row r="52" ht="57.0" customHeight="1">
      <c r="A52" s="139" t="s">
        <v>181</v>
      </c>
      <c r="B52" s="119" t="s">
        <v>2354</v>
      </c>
      <c r="C52" s="38" t="s">
        <v>23</v>
      </c>
      <c r="D52" s="38" t="s">
        <v>182</v>
      </c>
      <c r="E52" s="38" t="s">
        <v>183</v>
      </c>
      <c r="F52" s="38" t="s">
        <v>184</v>
      </c>
      <c r="G52" s="140">
        <v>38686.0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0"/>
      <c r="T52" s="30"/>
      <c r="U52" s="30"/>
      <c r="V52" s="30"/>
      <c r="W52" s="30"/>
      <c r="X52" s="30"/>
      <c r="Y52" s="30"/>
      <c r="Z52" s="30"/>
    </row>
    <row r="53" ht="42.75" customHeight="1">
      <c r="A53" s="135" t="s">
        <v>185</v>
      </c>
      <c r="B53" s="136" t="s">
        <v>2355</v>
      </c>
      <c r="C53" s="137" t="s">
        <v>52</v>
      </c>
      <c r="D53" s="137" t="s">
        <v>186</v>
      </c>
      <c r="E53" s="137" t="s">
        <v>187</v>
      </c>
      <c r="F53" s="137" t="s">
        <v>16</v>
      </c>
      <c r="G53" s="138">
        <v>38819.0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0"/>
      <c r="T53" s="30"/>
      <c r="U53" s="30"/>
      <c r="V53" s="30"/>
      <c r="W53" s="30"/>
      <c r="X53" s="30"/>
      <c r="Y53" s="30"/>
      <c r="Z53" s="30"/>
    </row>
    <row r="54" ht="42.75" customHeight="1">
      <c r="A54" s="139" t="s">
        <v>188</v>
      </c>
      <c r="B54" s="119" t="s">
        <v>2356</v>
      </c>
      <c r="C54" s="38" t="s">
        <v>13</v>
      </c>
      <c r="D54" s="38" t="s">
        <v>189</v>
      </c>
      <c r="E54" s="38" t="s">
        <v>190</v>
      </c>
      <c r="F54" s="38" t="s">
        <v>170</v>
      </c>
      <c r="G54" s="140">
        <v>38617.0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30"/>
      <c r="T54" s="30"/>
      <c r="U54" s="30"/>
      <c r="V54" s="30"/>
      <c r="W54" s="30"/>
      <c r="X54" s="30"/>
      <c r="Y54" s="30"/>
      <c r="Z54" s="30"/>
    </row>
    <row r="55" ht="57.0" customHeight="1">
      <c r="A55" s="135" t="s">
        <v>191</v>
      </c>
      <c r="B55" s="136" t="s">
        <v>2357</v>
      </c>
      <c r="C55" s="137" t="s">
        <v>13</v>
      </c>
      <c r="D55" s="137" t="s">
        <v>192</v>
      </c>
      <c r="E55" s="137" t="s">
        <v>193</v>
      </c>
      <c r="F55" s="137" t="s">
        <v>88</v>
      </c>
      <c r="G55" s="138">
        <v>38634.0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0"/>
      <c r="T55" s="30"/>
      <c r="U55" s="30"/>
      <c r="V55" s="30"/>
      <c r="W55" s="30"/>
      <c r="X55" s="30"/>
      <c r="Y55" s="30"/>
      <c r="Z55" s="30"/>
    </row>
    <row r="56" ht="38.25" customHeight="1">
      <c r="A56" s="139" t="s">
        <v>194</v>
      </c>
      <c r="B56" s="119" t="s">
        <v>2358</v>
      </c>
      <c r="C56" s="38" t="s">
        <v>195</v>
      </c>
      <c r="D56" s="38" t="s">
        <v>196</v>
      </c>
      <c r="E56" s="38" t="s">
        <v>197</v>
      </c>
      <c r="F56" s="38" t="s">
        <v>162</v>
      </c>
      <c r="G56" s="140">
        <v>38645.0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0"/>
      <c r="T56" s="30"/>
      <c r="U56" s="30"/>
      <c r="V56" s="30"/>
      <c r="W56" s="30"/>
      <c r="X56" s="30"/>
      <c r="Y56" s="30"/>
      <c r="Z56" s="30"/>
    </row>
    <row r="57" ht="71.25" customHeight="1">
      <c r="A57" s="135" t="s">
        <v>198</v>
      </c>
      <c r="B57" s="136" t="s">
        <v>2359</v>
      </c>
      <c r="C57" s="137" t="s">
        <v>13</v>
      </c>
      <c r="D57" s="137" t="s">
        <v>199</v>
      </c>
      <c r="E57" s="137" t="s">
        <v>200</v>
      </c>
      <c r="F57" s="137" t="s">
        <v>201</v>
      </c>
      <c r="G57" s="138">
        <v>38629.0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0"/>
      <c r="T57" s="30"/>
      <c r="U57" s="30"/>
      <c r="V57" s="30"/>
      <c r="W57" s="30"/>
      <c r="X57" s="30"/>
      <c r="Y57" s="30"/>
      <c r="Z57" s="30"/>
    </row>
    <row r="58" ht="42.75" customHeight="1">
      <c r="A58" s="139" t="s">
        <v>202</v>
      </c>
      <c r="B58" s="119" t="s">
        <v>2360</v>
      </c>
      <c r="C58" s="38" t="s">
        <v>56</v>
      </c>
      <c r="D58" s="38" t="s">
        <v>203</v>
      </c>
      <c r="E58" s="38" t="s">
        <v>204</v>
      </c>
      <c r="F58" s="38" t="s">
        <v>205</v>
      </c>
      <c r="G58" s="140">
        <v>38659.0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0"/>
      <c r="T58" s="30"/>
      <c r="U58" s="30"/>
      <c r="V58" s="30"/>
      <c r="W58" s="30"/>
      <c r="X58" s="30"/>
      <c r="Y58" s="30"/>
      <c r="Z58" s="30"/>
    </row>
    <row r="59" ht="42.75" customHeight="1">
      <c r="A59" s="135" t="s">
        <v>206</v>
      </c>
      <c r="B59" s="136" t="s">
        <v>2361</v>
      </c>
      <c r="C59" s="137" t="s">
        <v>207</v>
      </c>
      <c r="D59" s="137" t="s">
        <v>208</v>
      </c>
      <c r="E59" s="137" t="s">
        <v>209</v>
      </c>
      <c r="F59" s="137" t="s">
        <v>162</v>
      </c>
      <c r="G59" s="138">
        <v>38398.0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0"/>
      <c r="T59" s="30"/>
      <c r="U59" s="30"/>
      <c r="V59" s="30"/>
      <c r="W59" s="30"/>
      <c r="X59" s="30"/>
      <c r="Y59" s="30"/>
      <c r="Z59" s="30"/>
    </row>
    <row r="60" ht="28.5" customHeight="1">
      <c r="A60" s="139" t="s">
        <v>210</v>
      </c>
      <c r="B60" s="119" t="s">
        <v>2362</v>
      </c>
      <c r="C60" s="38" t="s">
        <v>211</v>
      </c>
      <c r="D60" s="38" t="s">
        <v>212</v>
      </c>
      <c r="E60" s="38" t="s">
        <v>213</v>
      </c>
      <c r="F60" s="38" t="s">
        <v>184</v>
      </c>
      <c r="G60" s="140">
        <v>38468.0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0"/>
      <c r="T60" s="30"/>
      <c r="U60" s="30"/>
      <c r="V60" s="30"/>
      <c r="W60" s="30"/>
      <c r="X60" s="30"/>
      <c r="Y60" s="30"/>
      <c r="Z60" s="30"/>
    </row>
    <row r="61" ht="42.75" customHeight="1">
      <c r="A61" s="135" t="s">
        <v>214</v>
      </c>
      <c r="B61" s="136" t="s">
        <v>2363</v>
      </c>
      <c r="C61" s="137" t="s">
        <v>116</v>
      </c>
      <c r="D61" s="137" t="s">
        <v>215</v>
      </c>
      <c r="E61" s="137" t="s">
        <v>216</v>
      </c>
      <c r="F61" s="137" t="s">
        <v>26</v>
      </c>
      <c r="G61" s="138">
        <v>38418.0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0"/>
      <c r="T61" s="30"/>
      <c r="U61" s="30"/>
      <c r="V61" s="30"/>
      <c r="W61" s="30"/>
      <c r="X61" s="30"/>
      <c r="Y61" s="30"/>
      <c r="Z61" s="30"/>
    </row>
    <row r="62" ht="51.0" customHeight="1">
      <c r="A62" s="139" t="s">
        <v>217</v>
      </c>
      <c r="B62" s="119" t="s">
        <v>2364</v>
      </c>
      <c r="C62" s="38" t="s">
        <v>137</v>
      </c>
      <c r="D62" s="38" t="s">
        <v>218</v>
      </c>
      <c r="E62" s="38" t="s">
        <v>219</v>
      </c>
      <c r="F62" s="38" t="s">
        <v>220</v>
      </c>
      <c r="G62" s="140">
        <v>38401.0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0"/>
      <c r="T62" s="30"/>
      <c r="U62" s="30"/>
      <c r="V62" s="30"/>
      <c r="W62" s="30"/>
      <c r="X62" s="30"/>
      <c r="Y62" s="30"/>
      <c r="Z62" s="30"/>
    </row>
    <row r="63" ht="28.5" customHeight="1">
      <c r="A63" s="135" t="s">
        <v>221</v>
      </c>
      <c r="B63" s="136" t="s">
        <v>2365</v>
      </c>
      <c r="C63" s="137" t="s">
        <v>47</v>
      </c>
      <c r="D63" s="137" t="s">
        <v>222</v>
      </c>
      <c r="E63" s="137" t="s">
        <v>223</v>
      </c>
      <c r="F63" s="137" t="s">
        <v>73</v>
      </c>
      <c r="G63" s="138">
        <v>38659.0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30"/>
      <c r="T63" s="30"/>
      <c r="U63" s="30"/>
      <c r="V63" s="30"/>
      <c r="W63" s="30"/>
      <c r="X63" s="30"/>
      <c r="Y63" s="30"/>
      <c r="Z63" s="30"/>
    </row>
    <row r="64" ht="51.0" customHeight="1">
      <c r="A64" s="139" t="s">
        <v>224</v>
      </c>
      <c r="B64" s="119" t="s">
        <v>2366</v>
      </c>
      <c r="C64" s="38" t="s">
        <v>43</v>
      </c>
      <c r="D64" s="38" t="s">
        <v>225</v>
      </c>
      <c r="E64" s="38" t="s">
        <v>226</v>
      </c>
      <c r="F64" s="38" t="s">
        <v>201</v>
      </c>
      <c r="G64" s="140">
        <v>38685.0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0"/>
      <c r="T64" s="30"/>
      <c r="U64" s="30"/>
      <c r="V64" s="30"/>
      <c r="W64" s="30"/>
      <c r="X64" s="30"/>
      <c r="Y64" s="30"/>
      <c r="Z64" s="30"/>
    </row>
    <row r="65" ht="42.75" customHeight="1">
      <c r="A65" s="135" t="s">
        <v>227</v>
      </c>
      <c r="B65" s="136" t="s">
        <v>2367</v>
      </c>
      <c r="C65" s="137" t="s">
        <v>56</v>
      </c>
      <c r="D65" s="137" t="s">
        <v>228</v>
      </c>
      <c r="E65" s="137" t="s">
        <v>229</v>
      </c>
      <c r="F65" s="137" t="s">
        <v>16</v>
      </c>
      <c r="G65" s="138">
        <v>38650.0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30"/>
      <c r="T65" s="30"/>
      <c r="U65" s="30"/>
      <c r="V65" s="30"/>
      <c r="W65" s="30"/>
      <c r="X65" s="30"/>
      <c r="Y65" s="30"/>
      <c r="Z65" s="30"/>
    </row>
    <row r="66" ht="57.0" customHeight="1">
      <c r="A66" s="139" t="s">
        <v>230</v>
      </c>
      <c r="B66" s="119" t="s">
        <v>2368</v>
      </c>
      <c r="C66" s="38" t="s">
        <v>167</v>
      </c>
      <c r="D66" s="38" t="s">
        <v>231</v>
      </c>
      <c r="E66" s="38" t="s">
        <v>232</v>
      </c>
      <c r="F66" s="38" t="s">
        <v>162</v>
      </c>
      <c r="G66" s="140">
        <v>38400.0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30"/>
      <c r="T66" s="30"/>
      <c r="U66" s="30"/>
      <c r="V66" s="30"/>
      <c r="W66" s="30"/>
      <c r="X66" s="30"/>
      <c r="Y66" s="30"/>
      <c r="Z66" s="30"/>
    </row>
    <row r="67" ht="71.25" customHeight="1">
      <c r="A67" s="135" t="s">
        <v>233</v>
      </c>
      <c r="B67" s="136" t="s">
        <v>2369</v>
      </c>
      <c r="C67" s="137" t="s">
        <v>234</v>
      </c>
      <c r="D67" s="137" t="s">
        <v>235</v>
      </c>
      <c r="E67" s="137" t="s">
        <v>236</v>
      </c>
      <c r="F67" s="137" t="s">
        <v>237</v>
      </c>
      <c r="G67" s="138">
        <v>38405.0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0"/>
      <c r="T67" s="30"/>
      <c r="U67" s="30"/>
      <c r="V67" s="30"/>
      <c r="W67" s="30"/>
      <c r="X67" s="30"/>
      <c r="Y67" s="30"/>
      <c r="Z67" s="30"/>
    </row>
    <row r="68" ht="42.75" customHeight="1">
      <c r="A68" s="139" t="s">
        <v>238</v>
      </c>
      <c r="B68" s="119" t="s">
        <v>2370</v>
      </c>
      <c r="C68" s="38" t="s">
        <v>33</v>
      </c>
      <c r="D68" s="38" t="s">
        <v>239</v>
      </c>
      <c r="E68" s="38" t="s">
        <v>240</v>
      </c>
      <c r="F68" s="38" t="s">
        <v>180</v>
      </c>
      <c r="G68" s="140">
        <v>38686.0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30"/>
      <c r="T68" s="30"/>
      <c r="U68" s="30"/>
      <c r="V68" s="30"/>
      <c r="W68" s="30"/>
      <c r="X68" s="30"/>
      <c r="Y68" s="30"/>
      <c r="Z68" s="30"/>
    </row>
    <row r="69" ht="38.25" customHeight="1">
      <c r="A69" s="135" t="s">
        <v>241</v>
      </c>
      <c r="B69" s="136" t="s">
        <v>2371</v>
      </c>
      <c r="C69" s="137" t="s">
        <v>33</v>
      </c>
      <c r="D69" s="137" t="s">
        <v>242</v>
      </c>
      <c r="E69" s="137" t="s">
        <v>243</v>
      </c>
      <c r="F69" s="137" t="s">
        <v>244</v>
      </c>
      <c r="G69" s="138">
        <v>38646.0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30"/>
      <c r="T69" s="30"/>
      <c r="U69" s="30"/>
      <c r="V69" s="30"/>
      <c r="W69" s="30"/>
      <c r="X69" s="30"/>
      <c r="Y69" s="30"/>
      <c r="Z69" s="30"/>
    </row>
    <row r="70" ht="28.5" customHeight="1">
      <c r="A70" s="139" t="s">
        <v>245</v>
      </c>
      <c r="B70" s="119" t="s">
        <v>2372</v>
      </c>
      <c r="C70" s="38" t="s">
        <v>47</v>
      </c>
      <c r="D70" s="38" t="s">
        <v>246</v>
      </c>
      <c r="E70" s="38" t="s">
        <v>247</v>
      </c>
      <c r="F70" s="38" t="s">
        <v>180</v>
      </c>
      <c r="G70" s="140">
        <v>38386.0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0"/>
      <c r="T70" s="30"/>
      <c r="U70" s="30"/>
      <c r="V70" s="30"/>
      <c r="W70" s="30"/>
      <c r="X70" s="30"/>
      <c r="Y70" s="30"/>
      <c r="Z70" s="30"/>
    </row>
    <row r="71" ht="42.75" customHeight="1">
      <c r="A71" s="135" t="s">
        <v>248</v>
      </c>
      <c r="B71" s="136" t="s">
        <v>2373</v>
      </c>
      <c r="C71" s="137" t="s">
        <v>116</v>
      </c>
      <c r="D71" s="137" t="s">
        <v>249</v>
      </c>
      <c r="E71" s="137" t="s">
        <v>250</v>
      </c>
      <c r="F71" s="137" t="s">
        <v>68</v>
      </c>
      <c r="G71" s="138">
        <v>38646.0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  <c r="T71" s="30"/>
      <c r="U71" s="30"/>
      <c r="V71" s="30"/>
      <c r="W71" s="30"/>
      <c r="X71" s="30"/>
      <c r="Y71" s="30"/>
      <c r="Z71" s="30"/>
    </row>
    <row r="72" ht="38.25" customHeight="1">
      <c r="A72" s="139" t="s">
        <v>251</v>
      </c>
      <c r="B72" s="119" t="s">
        <v>2374</v>
      </c>
      <c r="C72" s="38" t="s">
        <v>252</v>
      </c>
      <c r="D72" s="38" t="s">
        <v>253</v>
      </c>
      <c r="E72" s="38" t="s">
        <v>254</v>
      </c>
      <c r="F72" s="38" t="s">
        <v>201</v>
      </c>
      <c r="G72" s="140">
        <v>38411.0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30"/>
      <c r="T72" s="30"/>
      <c r="U72" s="30"/>
      <c r="V72" s="30"/>
      <c r="W72" s="30"/>
      <c r="X72" s="30"/>
      <c r="Y72" s="30"/>
      <c r="Z72" s="30"/>
    </row>
    <row r="73" ht="28.5" customHeight="1">
      <c r="A73" s="135" t="s">
        <v>255</v>
      </c>
      <c r="B73" s="136" t="s">
        <v>2375</v>
      </c>
      <c r="C73" s="137" t="s">
        <v>33</v>
      </c>
      <c r="D73" s="137" t="s">
        <v>256</v>
      </c>
      <c r="E73" s="137" t="s">
        <v>257</v>
      </c>
      <c r="F73" s="137" t="s">
        <v>180</v>
      </c>
      <c r="G73" s="138">
        <v>38385.0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30"/>
      <c r="T73" s="30"/>
      <c r="U73" s="30"/>
      <c r="V73" s="30"/>
      <c r="W73" s="30"/>
      <c r="X73" s="30"/>
      <c r="Y73" s="30"/>
      <c r="Z73" s="30"/>
    </row>
    <row r="74" ht="42.75" customHeight="1">
      <c r="A74" s="139" t="s">
        <v>258</v>
      </c>
      <c r="B74" s="119" t="s">
        <v>2376</v>
      </c>
      <c r="C74" s="38" t="s">
        <v>47</v>
      </c>
      <c r="D74" s="38" t="s">
        <v>259</v>
      </c>
      <c r="E74" s="38" t="s">
        <v>260</v>
      </c>
      <c r="F74" s="38" t="s">
        <v>180</v>
      </c>
      <c r="G74" s="140">
        <v>38652.0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30"/>
      <c r="V74" s="30"/>
      <c r="W74" s="30"/>
      <c r="X74" s="30"/>
      <c r="Y74" s="30"/>
      <c r="Z74" s="30"/>
    </row>
    <row r="75" ht="42.75" customHeight="1">
      <c r="A75" s="135" t="s">
        <v>261</v>
      </c>
      <c r="B75" s="136" t="s">
        <v>2377</v>
      </c>
      <c r="C75" s="137" t="s">
        <v>13</v>
      </c>
      <c r="D75" s="137" t="s">
        <v>262</v>
      </c>
      <c r="E75" s="137" t="s">
        <v>263</v>
      </c>
      <c r="F75" s="137" t="s">
        <v>162</v>
      </c>
      <c r="G75" s="138">
        <v>38610.0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30"/>
      <c r="V75" s="30"/>
      <c r="W75" s="30"/>
      <c r="X75" s="30"/>
      <c r="Y75" s="30"/>
      <c r="Z75" s="30"/>
    </row>
    <row r="76" ht="28.5" customHeight="1">
      <c r="A76" s="139" t="s">
        <v>264</v>
      </c>
      <c r="B76" s="119" t="s">
        <v>2378</v>
      </c>
      <c r="C76" s="38" t="s">
        <v>265</v>
      </c>
      <c r="D76" s="38" t="s">
        <v>266</v>
      </c>
      <c r="E76" s="38" t="s">
        <v>267</v>
      </c>
      <c r="F76" s="38" t="s">
        <v>268</v>
      </c>
      <c r="G76" s="140">
        <v>38660.0</v>
      </c>
      <c r="H76" s="29"/>
      <c r="I76" s="137"/>
      <c r="J76" s="29"/>
      <c r="K76" s="29"/>
      <c r="L76" s="29"/>
      <c r="M76" s="29"/>
      <c r="N76" s="29"/>
      <c r="O76" s="29"/>
      <c r="P76" s="29"/>
      <c r="Q76" s="29"/>
      <c r="R76" s="29"/>
      <c r="S76" s="30"/>
      <c r="T76" s="30"/>
      <c r="U76" s="30"/>
      <c r="V76" s="30"/>
      <c r="W76" s="30"/>
      <c r="X76" s="30"/>
      <c r="Y76" s="30"/>
      <c r="Z76" s="30"/>
    </row>
    <row r="77" ht="38.25" customHeight="1">
      <c r="A77" s="135" t="s">
        <v>269</v>
      </c>
      <c r="B77" s="136" t="s">
        <v>2379</v>
      </c>
      <c r="C77" s="137" t="s">
        <v>47</v>
      </c>
      <c r="D77" s="137" t="s">
        <v>270</v>
      </c>
      <c r="E77" s="137" t="s">
        <v>271</v>
      </c>
      <c r="F77" s="137" t="s">
        <v>205</v>
      </c>
      <c r="G77" s="138">
        <v>38652.0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30"/>
      <c r="V77" s="30"/>
      <c r="W77" s="30"/>
      <c r="X77" s="30"/>
      <c r="Y77" s="30"/>
      <c r="Z77" s="30"/>
    </row>
    <row r="78" ht="38.25" customHeight="1">
      <c r="A78" s="139" t="s">
        <v>272</v>
      </c>
      <c r="B78" s="119" t="s">
        <v>2380</v>
      </c>
      <c r="C78" s="38" t="s">
        <v>33</v>
      </c>
      <c r="D78" s="38" t="s">
        <v>273</v>
      </c>
      <c r="E78" s="38" t="s">
        <v>274</v>
      </c>
      <c r="F78" s="38" t="s">
        <v>180</v>
      </c>
      <c r="G78" s="140">
        <v>38386.0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30"/>
      <c r="V78" s="30"/>
      <c r="W78" s="30"/>
      <c r="X78" s="30"/>
      <c r="Y78" s="30"/>
      <c r="Z78" s="30"/>
    </row>
    <row r="79" ht="51.0" customHeight="1">
      <c r="A79" s="135" t="s">
        <v>275</v>
      </c>
      <c r="B79" s="136" t="s">
        <v>2381</v>
      </c>
      <c r="C79" s="137" t="s">
        <v>276</v>
      </c>
      <c r="D79" s="137" t="s">
        <v>277</v>
      </c>
      <c r="E79" s="137" t="s">
        <v>278</v>
      </c>
      <c r="F79" s="137" t="s">
        <v>16</v>
      </c>
      <c r="G79" s="138">
        <v>38660.0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30"/>
      <c r="V79" s="30"/>
      <c r="W79" s="30"/>
      <c r="X79" s="30"/>
      <c r="Y79" s="30"/>
      <c r="Z79" s="30"/>
    </row>
    <row r="80" ht="51.0" customHeight="1">
      <c r="A80" s="139" t="s">
        <v>279</v>
      </c>
      <c r="B80" s="119" t="s">
        <v>2382</v>
      </c>
      <c r="C80" s="38" t="s">
        <v>18</v>
      </c>
      <c r="D80" s="38" t="s">
        <v>280</v>
      </c>
      <c r="E80" s="38" t="s">
        <v>281</v>
      </c>
      <c r="F80" s="38" t="s">
        <v>36</v>
      </c>
      <c r="G80" s="140">
        <v>38663.0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30"/>
      <c r="V80" s="30"/>
      <c r="W80" s="30"/>
      <c r="X80" s="30"/>
      <c r="Y80" s="30"/>
      <c r="Z80" s="30"/>
    </row>
    <row r="81" ht="57.0" customHeight="1">
      <c r="A81" s="135" t="s">
        <v>282</v>
      </c>
      <c r="B81" s="137" t="s">
        <v>2383</v>
      </c>
      <c r="C81" s="137" t="s">
        <v>283</v>
      </c>
      <c r="D81" s="137"/>
      <c r="E81" s="137" t="s">
        <v>284</v>
      </c>
      <c r="F81" s="137" t="s">
        <v>88</v>
      </c>
      <c r="G81" s="137">
        <v>2005.0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30"/>
      <c r="V81" s="30"/>
      <c r="W81" s="30"/>
      <c r="X81" s="30"/>
      <c r="Y81" s="30"/>
      <c r="Z81" s="30"/>
    </row>
    <row r="82" ht="51.0" customHeight="1">
      <c r="A82" s="142"/>
      <c r="B82" s="143" t="s">
        <v>2384</v>
      </c>
      <c r="C82" s="144"/>
      <c r="D82" s="144"/>
      <c r="E82" s="144" t="s">
        <v>2385</v>
      </c>
      <c r="F82" s="144" t="s">
        <v>16</v>
      </c>
      <c r="G82" s="145">
        <v>2005.0</v>
      </c>
      <c r="H82" s="157" t="s">
        <v>2332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38.25" customHeight="1">
      <c r="A83" s="158"/>
      <c r="B83" s="147" t="s">
        <v>2386</v>
      </c>
      <c r="C83" s="143"/>
      <c r="D83" s="147"/>
      <c r="E83" s="159" t="s">
        <v>2387</v>
      </c>
      <c r="F83" s="147" t="s">
        <v>123</v>
      </c>
      <c r="G83" s="145">
        <v>2005.0</v>
      </c>
      <c r="H83" s="149" t="s">
        <v>2388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51.75" customHeight="1">
      <c r="A84" s="160"/>
      <c r="B84" s="161" t="s">
        <v>2389</v>
      </c>
      <c r="C84" s="162"/>
      <c r="D84" s="161"/>
      <c r="E84" s="162" t="s">
        <v>2390</v>
      </c>
      <c r="F84" s="163" t="s">
        <v>16</v>
      </c>
      <c r="G84" s="164">
        <v>2005.0</v>
      </c>
      <c r="H84" s="165" t="s">
        <v>2391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42.75" customHeight="1">
      <c r="A85" s="166" t="s">
        <v>285</v>
      </c>
      <c r="B85" s="136" t="s">
        <v>2392</v>
      </c>
      <c r="C85" s="137" t="s">
        <v>18</v>
      </c>
      <c r="D85" s="137" t="s">
        <v>286</v>
      </c>
      <c r="E85" s="137" t="s">
        <v>287</v>
      </c>
      <c r="F85" s="137" t="s">
        <v>68</v>
      </c>
      <c r="G85" s="167">
        <v>39051.0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30"/>
      <c r="V85" s="30"/>
      <c r="W85" s="30"/>
      <c r="X85" s="30"/>
      <c r="Y85" s="30"/>
      <c r="Z85" s="30"/>
    </row>
    <row r="86" ht="38.25" customHeight="1">
      <c r="A86" s="168" t="s">
        <v>288</v>
      </c>
      <c r="B86" s="119" t="s">
        <v>2393</v>
      </c>
      <c r="C86" s="38" t="s">
        <v>23</v>
      </c>
      <c r="D86" s="38" t="s">
        <v>289</v>
      </c>
      <c r="E86" s="38" t="s">
        <v>290</v>
      </c>
      <c r="F86" s="38" t="s">
        <v>64</v>
      </c>
      <c r="G86" s="169">
        <v>39051.0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30"/>
      <c r="V86" s="30"/>
      <c r="W86" s="30"/>
      <c r="X86" s="30"/>
      <c r="Y86" s="30"/>
      <c r="Z86" s="30"/>
    </row>
    <row r="87" ht="57.0" customHeight="1">
      <c r="A87" s="166" t="s">
        <v>291</v>
      </c>
      <c r="B87" s="136" t="s">
        <v>2394</v>
      </c>
      <c r="C87" s="137" t="s">
        <v>18</v>
      </c>
      <c r="D87" s="137" t="s">
        <v>292</v>
      </c>
      <c r="E87" s="137" t="s">
        <v>293</v>
      </c>
      <c r="F87" s="137" t="s">
        <v>244</v>
      </c>
      <c r="G87" s="167">
        <v>38826.0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30"/>
      <c r="V87" s="30"/>
      <c r="W87" s="30"/>
      <c r="X87" s="30"/>
      <c r="Y87" s="30"/>
      <c r="Z87" s="30"/>
    </row>
    <row r="88" ht="42.75" customHeight="1">
      <c r="A88" s="168" t="s">
        <v>294</v>
      </c>
      <c r="B88" s="119" t="s">
        <v>2395</v>
      </c>
      <c r="C88" s="38" t="s">
        <v>207</v>
      </c>
      <c r="D88" s="38" t="s">
        <v>295</v>
      </c>
      <c r="E88" s="38" t="s">
        <v>296</v>
      </c>
      <c r="F88" s="38" t="s">
        <v>162</v>
      </c>
      <c r="G88" s="169">
        <v>38831.0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30"/>
      <c r="T88" s="30"/>
      <c r="U88" s="30"/>
      <c r="V88" s="30"/>
      <c r="W88" s="30"/>
      <c r="X88" s="30"/>
      <c r="Y88" s="30"/>
      <c r="Z88" s="30"/>
    </row>
    <row r="89" ht="57.0" customHeight="1">
      <c r="A89" s="166" t="s">
        <v>297</v>
      </c>
      <c r="B89" s="136" t="s">
        <v>2396</v>
      </c>
      <c r="C89" s="137" t="s">
        <v>13</v>
      </c>
      <c r="D89" s="137" t="s">
        <v>298</v>
      </c>
      <c r="E89" s="137" t="s">
        <v>299</v>
      </c>
      <c r="F89" s="137" t="s">
        <v>300</v>
      </c>
      <c r="G89" s="167">
        <v>38819.0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30"/>
      <c r="T89" s="30"/>
      <c r="U89" s="30"/>
      <c r="V89" s="30"/>
      <c r="W89" s="30"/>
      <c r="X89" s="30"/>
      <c r="Y89" s="30"/>
      <c r="Z89" s="30"/>
    </row>
    <row r="90" ht="38.25" customHeight="1">
      <c r="A90" s="170" t="s">
        <v>2397</v>
      </c>
      <c r="B90" s="171" t="s">
        <v>2398</v>
      </c>
      <c r="C90" s="172" t="s">
        <v>301</v>
      </c>
      <c r="D90" s="172" t="s">
        <v>302</v>
      </c>
      <c r="E90" s="172" t="s">
        <v>303</v>
      </c>
      <c r="F90" s="172" t="s">
        <v>16</v>
      </c>
      <c r="G90" s="173">
        <v>38819.0</v>
      </c>
      <c r="H90" s="174" t="s">
        <v>2399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51.0" customHeight="1">
      <c r="A91" s="166" t="s">
        <v>2400</v>
      </c>
      <c r="B91" s="136" t="s">
        <v>2401</v>
      </c>
      <c r="C91" s="137" t="s">
        <v>301</v>
      </c>
      <c r="D91" s="137" t="s">
        <v>304</v>
      </c>
      <c r="E91" s="137" t="s">
        <v>305</v>
      </c>
      <c r="F91" s="137" t="s">
        <v>26</v>
      </c>
      <c r="G91" s="167">
        <v>38811.0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30"/>
      <c r="T91" s="30"/>
      <c r="U91" s="30"/>
      <c r="V91" s="30"/>
      <c r="W91" s="30"/>
      <c r="X91" s="30"/>
      <c r="Y91" s="30"/>
      <c r="Z91" s="30"/>
    </row>
    <row r="92" ht="42.75" customHeight="1">
      <c r="A92" s="168" t="s">
        <v>2402</v>
      </c>
      <c r="B92" s="119" t="s">
        <v>2403</v>
      </c>
      <c r="C92" s="38" t="s">
        <v>116</v>
      </c>
      <c r="D92" s="38" t="s">
        <v>306</v>
      </c>
      <c r="E92" s="38" t="s">
        <v>307</v>
      </c>
      <c r="F92" s="38" t="s">
        <v>308</v>
      </c>
      <c r="G92" s="169">
        <v>38818.0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30"/>
      <c r="T92" s="30"/>
      <c r="U92" s="30"/>
      <c r="V92" s="30"/>
      <c r="W92" s="30"/>
      <c r="X92" s="30"/>
      <c r="Y92" s="30"/>
      <c r="Z92" s="30"/>
    </row>
    <row r="93" ht="38.25" customHeight="1">
      <c r="A93" s="166" t="s">
        <v>2404</v>
      </c>
      <c r="B93" s="136" t="s">
        <v>2405</v>
      </c>
      <c r="C93" s="137" t="s">
        <v>52</v>
      </c>
      <c r="D93" s="137" t="s">
        <v>309</v>
      </c>
      <c r="E93" s="137" t="s">
        <v>310</v>
      </c>
      <c r="F93" s="137" t="s">
        <v>162</v>
      </c>
      <c r="G93" s="167">
        <v>38985.0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30"/>
      <c r="T93" s="30"/>
      <c r="U93" s="30"/>
      <c r="V93" s="30"/>
      <c r="W93" s="30"/>
      <c r="X93" s="30"/>
      <c r="Y93" s="30"/>
      <c r="Z93" s="30"/>
    </row>
    <row r="94" ht="42.75" customHeight="1">
      <c r="A94" s="168" t="s">
        <v>2406</v>
      </c>
      <c r="B94" s="119" t="s">
        <v>2407</v>
      </c>
      <c r="C94" s="38" t="s">
        <v>311</v>
      </c>
      <c r="D94" s="38" t="s">
        <v>312</v>
      </c>
      <c r="E94" s="38" t="s">
        <v>313</v>
      </c>
      <c r="F94" s="38" t="s">
        <v>201</v>
      </c>
      <c r="G94" s="169">
        <v>38765.0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30"/>
      <c r="T94" s="30"/>
      <c r="U94" s="30"/>
      <c r="V94" s="30"/>
      <c r="W94" s="30"/>
      <c r="X94" s="30"/>
      <c r="Y94" s="30"/>
      <c r="Z94" s="30"/>
    </row>
    <row r="95" ht="42.75" customHeight="1">
      <c r="A95" s="166" t="s">
        <v>2408</v>
      </c>
      <c r="B95" s="136" t="s">
        <v>2409</v>
      </c>
      <c r="C95" s="137" t="s">
        <v>61</v>
      </c>
      <c r="D95" s="137" t="s">
        <v>314</v>
      </c>
      <c r="E95" s="137" t="s">
        <v>315</v>
      </c>
      <c r="F95" s="137" t="s">
        <v>64</v>
      </c>
      <c r="G95" s="167">
        <v>38966.0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30"/>
      <c r="T95" s="30"/>
      <c r="U95" s="30"/>
      <c r="V95" s="30"/>
      <c r="W95" s="30"/>
      <c r="X95" s="30"/>
      <c r="Y95" s="30"/>
      <c r="Z95" s="30"/>
    </row>
    <row r="96" ht="28.5" customHeight="1">
      <c r="A96" s="168" t="s">
        <v>2410</v>
      </c>
      <c r="B96" s="119" t="s">
        <v>2411</v>
      </c>
      <c r="C96" s="38" t="s">
        <v>43</v>
      </c>
      <c r="D96" s="38" t="s">
        <v>316</v>
      </c>
      <c r="E96" s="38" t="s">
        <v>317</v>
      </c>
      <c r="F96" s="38" t="s">
        <v>244</v>
      </c>
      <c r="G96" s="169">
        <v>38981.0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30"/>
      <c r="T96" s="30"/>
      <c r="U96" s="30"/>
      <c r="V96" s="30"/>
      <c r="W96" s="30"/>
      <c r="X96" s="30"/>
      <c r="Y96" s="30"/>
      <c r="Z96" s="30"/>
    </row>
    <row r="97" ht="51.0" customHeight="1">
      <c r="A97" s="166" t="s">
        <v>2412</v>
      </c>
      <c r="B97" s="136" t="s">
        <v>2413</v>
      </c>
      <c r="C97" s="137" t="s">
        <v>33</v>
      </c>
      <c r="D97" s="137" t="s">
        <v>318</v>
      </c>
      <c r="E97" s="137" t="s">
        <v>319</v>
      </c>
      <c r="F97" s="137" t="s">
        <v>320</v>
      </c>
      <c r="G97" s="167">
        <v>38826.0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30"/>
      <c r="T97" s="30"/>
      <c r="U97" s="30"/>
      <c r="V97" s="30"/>
      <c r="W97" s="30"/>
      <c r="X97" s="30"/>
      <c r="Y97" s="30"/>
      <c r="Z97" s="30"/>
    </row>
    <row r="98" ht="51.0" customHeight="1">
      <c r="A98" s="168" t="s">
        <v>2414</v>
      </c>
      <c r="B98" s="119" t="s">
        <v>2415</v>
      </c>
      <c r="C98" s="38" t="s">
        <v>43</v>
      </c>
      <c r="D98" s="38" t="s">
        <v>321</v>
      </c>
      <c r="E98" s="38" t="s">
        <v>322</v>
      </c>
      <c r="F98" s="38" t="s">
        <v>323</v>
      </c>
      <c r="G98" s="169">
        <v>39119.0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30"/>
      <c r="T98" s="30"/>
      <c r="U98" s="30"/>
      <c r="V98" s="30"/>
      <c r="W98" s="30"/>
      <c r="X98" s="30"/>
      <c r="Y98" s="30"/>
      <c r="Z98" s="30"/>
    </row>
    <row r="99" ht="42.75" customHeight="1">
      <c r="A99" s="166" t="s">
        <v>2416</v>
      </c>
      <c r="B99" s="136" t="s">
        <v>2417</v>
      </c>
      <c r="C99" s="137" t="s">
        <v>167</v>
      </c>
      <c r="D99" s="137" t="s">
        <v>324</v>
      </c>
      <c r="E99" s="137" t="s">
        <v>325</v>
      </c>
      <c r="F99" s="137" t="s">
        <v>326</v>
      </c>
      <c r="G99" s="167">
        <v>38988.0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30"/>
      <c r="T99" s="30"/>
      <c r="U99" s="30"/>
      <c r="V99" s="30"/>
      <c r="W99" s="30"/>
      <c r="X99" s="30"/>
      <c r="Y99" s="30"/>
      <c r="Z99" s="30"/>
    </row>
    <row r="100" ht="51.0" customHeight="1">
      <c r="A100" s="168" t="s">
        <v>2418</v>
      </c>
      <c r="B100" s="119" t="s">
        <v>2419</v>
      </c>
      <c r="C100" s="38" t="s">
        <v>33</v>
      </c>
      <c r="D100" s="38" t="s">
        <v>327</v>
      </c>
      <c r="E100" s="38" t="s">
        <v>328</v>
      </c>
      <c r="F100" s="38" t="s">
        <v>180</v>
      </c>
      <c r="G100" s="169">
        <v>38953.0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30"/>
      <c r="T100" s="30"/>
      <c r="U100" s="30"/>
      <c r="V100" s="30"/>
      <c r="W100" s="30"/>
      <c r="X100" s="30"/>
      <c r="Y100" s="30"/>
      <c r="Z100" s="30"/>
    </row>
    <row r="101" ht="42.75" customHeight="1">
      <c r="A101" s="166" t="s">
        <v>2420</v>
      </c>
      <c r="B101" s="136" t="s">
        <v>2421</v>
      </c>
      <c r="C101" s="137" t="s">
        <v>43</v>
      </c>
      <c r="D101" s="137" t="s">
        <v>329</v>
      </c>
      <c r="E101" s="137" t="s">
        <v>330</v>
      </c>
      <c r="F101" s="137" t="s">
        <v>331</v>
      </c>
      <c r="G101" s="167">
        <v>39136.0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30"/>
      <c r="T101" s="30"/>
      <c r="U101" s="30"/>
      <c r="V101" s="30"/>
      <c r="W101" s="30"/>
      <c r="X101" s="30"/>
      <c r="Y101" s="30"/>
      <c r="Z101" s="30"/>
    </row>
    <row r="102" ht="42.75" customHeight="1">
      <c r="A102" s="168" t="s">
        <v>2422</v>
      </c>
      <c r="B102" s="119" t="s">
        <v>2423</v>
      </c>
      <c r="C102" s="38" t="s">
        <v>56</v>
      </c>
      <c r="D102" s="38" t="s">
        <v>332</v>
      </c>
      <c r="E102" s="38" t="s">
        <v>333</v>
      </c>
      <c r="F102" s="38" t="s">
        <v>84</v>
      </c>
      <c r="G102" s="169">
        <v>38793.0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30"/>
      <c r="T102" s="30"/>
      <c r="U102" s="30"/>
      <c r="V102" s="30"/>
      <c r="W102" s="30"/>
      <c r="X102" s="30"/>
      <c r="Y102" s="30"/>
      <c r="Z102" s="30"/>
    </row>
    <row r="103" ht="38.25" customHeight="1">
      <c r="A103" s="166" t="s">
        <v>2424</v>
      </c>
      <c r="B103" s="136" t="s">
        <v>2425</v>
      </c>
      <c r="C103" s="137" t="s">
        <v>43</v>
      </c>
      <c r="D103" s="137" t="s">
        <v>334</v>
      </c>
      <c r="E103" s="137" t="s">
        <v>335</v>
      </c>
      <c r="F103" s="137" t="s">
        <v>73</v>
      </c>
      <c r="G103" s="167">
        <v>38965.0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30"/>
      <c r="T103" s="30"/>
      <c r="U103" s="30"/>
      <c r="V103" s="30"/>
      <c r="W103" s="30"/>
      <c r="X103" s="30"/>
      <c r="Y103" s="30"/>
      <c r="Z103" s="30"/>
    </row>
    <row r="104" ht="28.5" customHeight="1">
      <c r="A104" s="168" t="s">
        <v>2426</v>
      </c>
      <c r="B104" s="119" t="s">
        <v>2427</v>
      </c>
      <c r="C104" s="38" t="s">
        <v>23</v>
      </c>
      <c r="D104" s="38" t="s">
        <v>336</v>
      </c>
      <c r="E104" s="38" t="s">
        <v>337</v>
      </c>
      <c r="F104" s="38" t="s">
        <v>16</v>
      </c>
      <c r="G104" s="169">
        <v>38819.0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30"/>
      <c r="T104" s="30"/>
      <c r="U104" s="30"/>
      <c r="V104" s="30"/>
      <c r="W104" s="30"/>
      <c r="X104" s="30"/>
      <c r="Y104" s="30"/>
      <c r="Z104" s="30"/>
    </row>
    <row r="105" ht="57.0" customHeight="1">
      <c r="A105" s="166" t="s">
        <v>2428</v>
      </c>
      <c r="B105" s="136" t="s">
        <v>2429</v>
      </c>
      <c r="C105" s="137" t="s">
        <v>338</v>
      </c>
      <c r="D105" s="137" t="s">
        <v>339</v>
      </c>
      <c r="E105" s="137" t="s">
        <v>340</v>
      </c>
      <c r="F105" s="137" t="s">
        <v>147</v>
      </c>
      <c r="G105" s="167">
        <v>38825.0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30"/>
      <c r="T105" s="30"/>
      <c r="U105" s="30"/>
      <c r="V105" s="30"/>
      <c r="W105" s="30"/>
      <c r="X105" s="30"/>
      <c r="Y105" s="30"/>
      <c r="Z105" s="30"/>
    </row>
    <row r="106" ht="71.25" customHeight="1">
      <c r="A106" s="168" t="s">
        <v>2430</v>
      </c>
      <c r="B106" s="119" t="s">
        <v>2431</v>
      </c>
      <c r="C106" s="38" t="s">
        <v>18</v>
      </c>
      <c r="D106" s="38" t="s">
        <v>341</v>
      </c>
      <c r="E106" s="38" t="s">
        <v>342</v>
      </c>
      <c r="F106" s="38" t="s">
        <v>326</v>
      </c>
      <c r="G106" s="169">
        <v>38762.0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30"/>
      <c r="T106" s="30"/>
      <c r="U106" s="30"/>
      <c r="V106" s="30"/>
      <c r="W106" s="30"/>
      <c r="X106" s="30"/>
      <c r="Y106" s="30"/>
      <c r="Z106" s="30"/>
    </row>
    <row r="107" ht="42.75" customHeight="1">
      <c r="A107" s="166" t="s">
        <v>2432</v>
      </c>
      <c r="B107" s="136" t="s">
        <v>2433</v>
      </c>
      <c r="C107" s="137" t="s">
        <v>301</v>
      </c>
      <c r="D107" s="137" t="s">
        <v>343</v>
      </c>
      <c r="E107" s="137" t="s">
        <v>344</v>
      </c>
      <c r="F107" s="137" t="s">
        <v>59</v>
      </c>
      <c r="G107" s="167">
        <v>38826.0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30"/>
      <c r="T107" s="30"/>
      <c r="U107" s="30"/>
      <c r="V107" s="30"/>
      <c r="W107" s="30"/>
      <c r="X107" s="30"/>
      <c r="Y107" s="30"/>
      <c r="Z107" s="30"/>
    </row>
    <row r="108" ht="42.75" customHeight="1">
      <c r="A108" s="168" t="s">
        <v>2434</v>
      </c>
      <c r="B108" s="119" t="s">
        <v>2435</v>
      </c>
      <c r="C108" s="38" t="s">
        <v>43</v>
      </c>
      <c r="D108" s="38" t="s">
        <v>345</v>
      </c>
      <c r="E108" s="38" t="s">
        <v>346</v>
      </c>
      <c r="F108" s="38" t="s">
        <v>180</v>
      </c>
      <c r="G108" s="169">
        <v>39051.0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30"/>
      <c r="T108" s="30"/>
      <c r="U108" s="30"/>
      <c r="V108" s="30"/>
      <c r="W108" s="30"/>
      <c r="X108" s="30"/>
      <c r="Y108" s="30"/>
      <c r="Z108" s="30"/>
    </row>
    <row r="109" ht="42.75" customHeight="1">
      <c r="A109" s="166" t="s">
        <v>2436</v>
      </c>
      <c r="B109" s="136" t="s">
        <v>2437</v>
      </c>
      <c r="C109" s="137" t="s">
        <v>347</v>
      </c>
      <c r="D109" s="137" t="s">
        <v>348</v>
      </c>
      <c r="E109" s="137" t="s">
        <v>349</v>
      </c>
      <c r="F109" s="137" t="s">
        <v>326</v>
      </c>
      <c r="G109" s="167">
        <v>39127.0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30"/>
      <c r="T109" s="30"/>
      <c r="U109" s="30"/>
      <c r="V109" s="30"/>
      <c r="W109" s="30"/>
      <c r="X109" s="30"/>
      <c r="Y109" s="30"/>
      <c r="Z109" s="30"/>
    </row>
    <row r="110" ht="51.0" customHeight="1">
      <c r="A110" s="168" t="s">
        <v>2438</v>
      </c>
      <c r="B110" s="119" t="s">
        <v>2439</v>
      </c>
      <c r="C110" s="38" t="s">
        <v>61</v>
      </c>
      <c r="D110" s="38" t="s">
        <v>350</v>
      </c>
      <c r="E110" s="38" t="s">
        <v>351</v>
      </c>
      <c r="F110" s="38" t="s">
        <v>88</v>
      </c>
      <c r="G110" s="169">
        <v>38866.0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30"/>
      <c r="T110" s="30"/>
      <c r="U110" s="30"/>
      <c r="V110" s="30"/>
      <c r="W110" s="30"/>
      <c r="X110" s="30"/>
      <c r="Y110" s="30"/>
      <c r="Z110" s="30"/>
    </row>
    <row r="111" ht="42.75" customHeight="1">
      <c r="A111" s="166" t="s">
        <v>2440</v>
      </c>
      <c r="B111" s="136" t="s">
        <v>2441</v>
      </c>
      <c r="C111" s="137" t="s">
        <v>47</v>
      </c>
      <c r="D111" s="137" t="s">
        <v>352</v>
      </c>
      <c r="E111" s="137" t="s">
        <v>353</v>
      </c>
      <c r="F111" s="137" t="s">
        <v>16</v>
      </c>
      <c r="G111" s="167">
        <v>39000.0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30"/>
      <c r="T111" s="30"/>
      <c r="U111" s="30"/>
      <c r="V111" s="30"/>
      <c r="W111" s="30"/>
      <c r="X111" s="30"/>
      <c r="Y111" s="30"/>
      <c r="Z111" s="30"/>
    </row>
    <row r="112" ht="51.0" customHeight="1">
      <c r="A112" s="168" t="s">
        <v>2442</v>
      </c>
      <c r="B112" s="119" t="s">
        <v>2443</v>
      </c>
      <c r="C112" s="38" t="s">
        <v>167</v>
      </c>
      <c r="D112" s="38" t="s">
        <v>354</v>
      </c>
      <c r="E112" s="38" t="s">
        <v>355</v>
      </c>
      <c r="F112" s="38" t="s">
        <v>356</v>
      </c>
      <c r="G112" s="169">
        <v>39143.0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30"/>
      <c r="T112" s="30"/>
      <c r="U112" s="30"/>
      <c r="V112" s="30"/>
      <c r="W112" s="30"/>
      <c r="X112" s="30"/>
      <c r="Y112" s="30"/>
      <c r="Z112" s="30"/>
    </row>
    <row r="113" ht="63.75" customHeight="1">
      <c r="A113" s="166" t="s">
        <v>2444</v>
      </c>
      <c r="B113" s="136" t="s">
        <v>2445</v>
      </c>
      <c r="C113" s="137" t="s">
        <v>61</v>
      </c>
      <c r="D113" s="137" t="s">
        <v>357</v>
      </c>
      <c r="E113" s="137" t="s">
        <v>358</v>
      </c>
      <c r="F113" s="137" t="s">
        <v>16</v>
      </c>
      <c r="G113" s="167">
        <v>39140.0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30"/>
      <c r="T113" s="30"/>
      <c r="U113" s="30"/>
      <c r="V113" s="30"/>
      <c r="W113" s="30"/>
      <c r="X113" s="30"/>
      <c r="Y113" s="30"/>
      <c r="Z113" s="30"/>
    </row>
    <row r="114" ht="71.25" customHeight="1">
      <c r="A114" s="168" t="s">
        <v>2446</v>
      </c>
      <c r="B114" s="119" t="s">
        <v>2447</v>
      </c>
      <c r="C114" s="38" t="s">
        <v>252</v>
      </c>
      <c r="D114" s="38" t="s">
        <v>359</v>
      </c>
      <c r="E114" s="38" t="s">
        <v>360</v>
      </c>
      <c r="F114" s="38" t="s">
        <v>170</v>
      </c>
      <c r="G114" s="169">
        <v>38988.0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30"/>
      <c r="T114" s="30"/>
      <c r="U114" s="30"/>
      <c r="V114" s="30"/>
      <c r="W114" s="30"/>
      <c r="X114" s="30"/>
      <c r="Y114" s="30"/>
      <c r="Z114" s="30"/>
    </row>
    <row r="115" ht="42.75" customHeight="1">
      <c r="A115" s="166" t="s">
        <v>2448</v>
      </c>
      <c r="B115" s="136" t="s">
        <v>2449</v>
      </c>
      <c r="C115" s="137" t="s">
        <v>33</v>
      </c>
      <c r="D115" s="137" t="s">
        <v>2450</v>
      </c>
      <c r="E115" s="137" t="s">
        <v>362</v>
      </c>
      <c r="F115" s="137" t="s">
        <v>68</v>
      </c>
      <c r="G115" s="167">
        <v>38826.0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30"/>
      <c r="T115" s="30"/>
      <c r="U115" s="30"/>
      <c r="V115" s="30"/>
      <c r="W115" s="30"/>
      <c r="X115" s="30"/>
      <c r="Y115" s="30"/>
      <c r="Z115" s="30"/>
    </row>
    <row r="116" ht="42.75" customHeight="1">
      <c r="A116" s="168" t="s">
        <v>2451</v>
      </c>
      <c r="B116" s="119" t="s">
        <v>2452</v>
      </c>
      <c r="C116" s="38" t="s">
        <v>23</v>
      </c>
      <c r="D116" s="38" t="s">
        <v>363</v>
      </c>
      <c r="E116" s="38" t="s">
        <v>364</v>
      </c>
      <c r="F116" s="38" t="s">
        <v>147</v>
      </c>
      <c r="G116" s="169">
        <v>39112.0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30"/>
      <c r="T116" s="30"/>
      <c r="U116" s="30"/>
      <c r="V116" s="30"/>
      <c r="W116" s="30"/>
      <c r="X116" s="30"/>
      <c r="Y116" s="30"/>
      <c r="Z116" s="30"/>
    </row>
    <row r="117" ht="51.0" customHeight="1">
      <c r="A117" s="166" t="s">
        <v>2453</v>
      </c>
      <c r="B117" s="136" t="s">
        <v>2454</v>
      </c>
      <c r="C117" s="137" t="s">
        <v>33</v>
      </c>
      <c r="D117" s="137" t="s">
        <v>365</v>
      </c>
      <c r="E117" s="137" t="s">
        <v>366</v>
      </c>
      <c r="F117" s="137" t="s">
        <v>109</v>
      </c>
      <c r="G117" s="167">
        <v>38743.0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30"/>
      <c r="T117" s="30"/>
      <c r="U117" s="30"/>
      <c r="V117" s="30"/>
      <c r="W117" s="30"/>
      <c r="X117" s="30"/>
      <c r="Y117" s="30"/>
      <c r="Z117" s="30"/>
    </row>
    <row r="118" ht="51.0" customHeight="1">
      <c r="A118" s="168" t="s">
        <v>2455</v>
      </c>
      <c r="B118" s="119" t="s">
        <v>2456</v>
      </c>
      <c r="C118" s="38" t="s">
        <v>23</v>
      </c>
      <c r="D118" s="38" t="s">
        <v>367</v>
      </c>
      <c r="E118" s="38" t="s">
        <v>368</v>
      </c>
      <c r="F118" s="38" t="s">
        <v>147</v>
      </c>
      <c r="G118" s="169">
        <v>39099.0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30"/>
      <c r="T118" s="30"/>
      <c r="U118" s="30"/>
      <c r="V118" s="30"/>
      <c r="W118" s="30"/>
      <c r="X118" s="30"/>
      <c r="Y118" s="30"/>
      <c r="Z118" s="30"/>
    </row>
    <row r="119" ht="51.0" customHeight="1">
      <c r="A119" s="166" t="s">
        <v>2457</v>
      </c>
      <c r="B119" s="136" t="s">
        <v>2458</v>
      </c>
      <c r="C119" s="137" t="s">
        <v>111</v>
      </c>
      <c r="D119" s="137" t="s">
        <v>2459</v>
      </c>
      <c r="E119" s="137" t="s">
        <v>370</v>
      </c>
      <c r="F119" s="137" t="s">
        <v>371</v>
      </c>
      <c r="G119" s="167">
        <v>38966.0</v>
      </c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30"/>
      <c r="T119" s="30"/>
      <c r="U119" s="30"/>
      <c r="V119" s="30"/>
      <c r="W119" s="30"/>
      <c r="X119" s="30"/>
      <c r="Y119" s="30"/>
      <c r="Z119" s="30"/>
    </row>
    <row r="120" ht="51.0" customHeight="1">
      <c r="A120" s="168" t="s">
        <v>2460</v>
      </c>
      <c r="B120" s="119" t="s">
        <v>2461</v>
      </c>
      <c r="C120" s="38" t="s">
        <v>61</v>
      </c>
      <c r="D120" s="38" t="s">
        <v>372</v>
      </c>
      <c r="E120" s="38" t="s">
        <v>373</v>
      </c>
      <c r="F120" s="38" t="s">
        <v>162</v>
      </c>
      <c r="G120" s="169">
        <v>39146.0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30"/>
      <c r="T120" s="30"/>
      <c r="U120" s="30"/>
      <c r="V120" s="30"/>
      <c r="W120" s="30"/>
      <c r="X120" s="30"/>
      <c r="Y120" s="30"/>
      <c r="Z120" s="30"/>
    </row>
    <row r="121" ht="57.0" customHeight="1">
      <c r="A121" s="166" t="s">
        <v>2462</v>
      </c>
      <c r="B121" s="136" t="s">
        <v>2463</v>
      </c>
      <c r="C121" s="137" t="s">
        <v>52</v>
      </c>
      <c r="D121" s="137" t="s">
        <v>374</v>
      </c>
      <c r="E121" s="137" t="s">
        <v>375</v>
      </c>
      <c r="F121" s="137" t="s">
        <v>170</v>
      </c>
      <c r="G121" s="167">
        <v>38939.0</v>
      </c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30"/>
      <c r="T121" s="30"/>
      <c r="U121" s="30"/>
      <c r="V121" s="30"/>
      <c r="W121" s="30"/>
      <c r="X121" s="30"/>
      <c r="Y121" s="30"/>
      <c r="Z121" s="30"/>
    </row>
    <row r="122" ht="42.75" customHeight="1">
      <c r="A122" s="168" t="s">
        <v>2464</v>
      </c>
      <c r="B122" s="119" t="s">
        <v>2465</v>
      </c>
      <c r="C122" s="38" t="s">
        <v>311</v>
      </c>
      <c r="D122" s="38" t="s">
        <v>376</v>
      </c>
      <c r="E122" s="38" t="s">
        <v>377</v>
      </c>
      <c r="F122" s="38" t="s">
        <v>170</v>
      </c>
      <c r="G122" s="169">
        <v>39140.0</v>
      </c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30"/>
      <c r="T122" s="30"/>
      <c r="U122" s="30"/>
      <c r="V122" s="30"/>
      <c r="W122" s="30"/>
      <c r="X122" s="30"/>
      <c r="Y122" s="30"/>
      <c r="Z122" s="30"/>
    </row>
    <row r="123" ht="38.25" customHeight="1">
      <c r="A123" s="166" t="s">
        <v>2466</v>
      </c>
      <c r="B123" s="136" t="s">
        <v>2467</v>
      </c>
      <c r="C123" s="137" t="s">
        <v>13</v>
      </c>
      <c r="D123" s="137" t="s">
        <v>378</v>
      </c>
      <c r="E123" s="137" t="s">
        <v>379</v>
      </c>
      <c r="F123" s="137" t="s">
        <v>64</v>
      </c>
      <c r="G123" s="167">
        <v>39150.0</v>
      </c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30"/>
      <c r="T123" s="30"/>
      <c r="U123" s="30"/>
      <c r="V123" s="30"/>
      <c r="W123" s="30"/>
      <c r="X123" s="30"/>
      <c r="Y123" s="30"/>
      <c r="Z123" s="30"/>
    </row>
    <row r="124" ht="42.75" customHeight="1">
      <c r="A124" s="168" t="s">
        <v>2468</v>
      </c>
      <c r="B124" s="119" t="s">
        <v>2469</v>
      </c>
      <c r="C124" s="38" t="s">
        <v>380</v>
      </c>
      <c r="D124" s="38" t="s">
        <v>381</v>
      </c>
      <c r="E124" s="38" t="s">
        <v>382</v>
      </c>
      <c r="F124" s="38" t="s">
        <v>383</v>
      </c>
      <c r="G124" s="169">
        <v>39051.0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30"/>
      <c r="T124" s="30"/>
      <c r="U124" s="30"/>
      <c r="V124" s="30"/>
      <c r="W124" s="30"/>
      <c r="X124" s="30"/>
      <c r="Y124" s="30"/>
      <c r="Z124" s="30"/>
    </row>
    <row r="125" ht="42.75" customHeight="1">
      <c r="A125" s="166" t="s">
        <v>2470</v>
      </c>
      <c r="B125" s="136" t="s">
        <v>2471</v>
      </c>
      <c r="C125" s="137" t="s">
        <v>23</v>
      </c>
      <c r="D125" s="137" t="s">
        <v>384</v>
      </c>
      <c r="E125" s="137" t="s">
        <v>385</v>
      </c>
      <c r="F125" s="137" t="s">
        <v>147</v>
      </c>
      <c r="G125" s="167">
        <v>38987.0</v>
      </c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30"/>
      <c r="T125" s="30"/>
      <c r="U125" s="30"/>
      <c r="V125" s="30"/>
      <c r="W125" s="30"/>
      <c r="X125" s="30"/>
      <c r="Y125" s="30"/>
      <c r="Z125" s="30"/>
    </row>
    <row r="126" ht="42.75" customHeight="1">
      <c r="A126" s="168" t="s">
        <v>2472</v>
      </c>
      <c r="B126" s="119" t="s">
        <v>2473</v>
      </c>
      <c r="C126" s="38" t="s">
        <v>386</v>
      </c>
      <c r="D126" s="38" t="s">
        <v>2474</v>
      </c>
      <c r="E126" s="38" t="s">
        <v>388</v>
      </c>
      <c r="F126" s="38" t="s">
        <v>114</v>
      </c>
      <c r="G126" s="169">
        <v>38965.0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30"/>
      <c r="T126" s="30"/>
      <c r="U126" s="30"/>
      <c r="V126" s="30"/>
      <c r="W126" s="30"/>
      <c r="X126" s="30"/>
      <c r="Y126" s="30"/>
      <c r="Z126" s="30"/>
    </row>
    <row r="127" ht="38.25" customHeight="1">
      <c r="A127" s="166" t="s">
        <v>2475</v>
      </c>
      <c r="B127" s="136" t="s">
        <v>2476</v>
      </c>
      <c r="C127" s="137" t="s">
        <v>311</v>
      </c>
      <c r="D127" s="137" t="s">
        <v>389</v>
      </c>
      <c r="E127" s="137" t="s">
        <v>390</v>
      </c>
      <c r="F127" s="137" t="s">
        <v>162</v>
      </c>
      <c r="G127" s="167">
        <v>38989.0</v>
      </c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30"/>
      <c r="T127" s="30"/>
      <c r="U127" s="30"/>
      <c r="V127" s="30"/>
      <c r="W127" s="30"/>
      <c r="X127" s="30"/>
      <c r="Y127" s="30"/>
      <c r="Z127" s="30"/>
    </row>
    <row r="128" ht="42.75" customHeight="1">
      <c r="A128" s="168" t="s">
        <v>2477</v>
      </c>
      <c r="B128" s="119" t="s">
        <v>2478</v>
      </c>
      <c r="C128" s="38" t="s">
        <v>47</v>
      </c>
      <c r="D128" s="38" t="s">
        <v>391</v>
      </c>
      <c r="E128" s="38" t="s">
        <v>392</v>
      </c>
      <c r="F128" s="38" t="s">
        <v>68</v>
      </c>
      <c r="G128" s="169">
        <v>39051.0</v>
      </c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30"/>
      <c r="T128" s="30"/>
      <c r="U128" s="30"/>
      <c r="V128" s="30"/>
      <c r="W128" s="30"/>
      <c r="X128" s="30"/>
      <c r="Y128" s="30"/>
      <c r="Z128" s="30"/>
    </row>
    <row r="129" ht="42.75" customHeight="1">
      <c r="A129" s="166" t="s">
        <v>2479</v>
      </c>
      <c r="B129" s="136" t="s">
        <v>2480</v>
      </c>
      <c r="C129" s="137" t="s">
        <v>33</v>
      </c>
      <c r="D129" s="137" t="s">
        <v>393</v>
      </c>
      <c r="E129" s="137" t="s">
        <v>394</v>
      </c>
      <c r="F129" s="137" t="s">
        <v>26</v>
      </c>
      <c r="G129" s="167">
        <v>38825.0</v>
      </c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30"/>
      <c r="T129" s="30"/>
      <c r="U129" s="30"/>
      <c r="V129" s="30"/>
      <c r="W129" s="30"/>
      <c r="X129" s="30"/>
      <c r="Y129" s="30"/>
      <c r="Z129" s="30"/>
    </row>
    <row r="130" ht="42.75" customHeight="1">
      <c r="A130" s="168" t="s">
        <v>2481</v>
      </c>
      <c r="B130" s="119" t="s">
        <v>2482</v>
      </c>
      <c r="C130" s="38" t="s">
        <v>23</v>
      </c>
      <c r="D130" s="38" t="s">
        <v>395</v>
      </c>
      <c r="E130" s="38" t="s">
        <v>396</v>
      </c>
      <c r="F130" s="38" t="s">
        <v>147</v>
      </c>
      <c r="G130" s="169">
        <v>39106.0</v>
      </c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30"/>
      <c r="T130" s="30"/>
      <c r="U130" s="30"/>
      <c r="V130" s="30"/>
      <c r="W130" s="30"/>
      <c r="X130" s="30"/>
      <c r="Y130" s="30"/>
      <c r="Z130" s="30"/>
    </row>
    <row r="131" ht="38.25" customHeight="1">
      <c r="A131" s="166" t="s">
        <v>2483</v>
      </c>
      <c r="B131" s="136" t="s">
        <v>2484</v>
      </c>
      <c r="C131" s="137" t="s">
        <v>43</v>
      </c>
      <c r="D131" s="137" t="s">
        <v>397</v>
      </c>
      <c r="E131" s="137" t="s">
        <v>398</v>
      </c>
      <c r="F131" s="137" t="s">
        <v>399</v>
      </c>
      <c r="G131" s="167">
        <v>39051.0</v>
      </c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30"/>
      <c r="T131" s="30"/>
      <c r="U131" s="30"/>
      <c r="V131" s="30"/>
      <c r="W131" s="30"/>
      <c r="X131" s="30"/>
      <c r="Y131" s="30"/>
      <c r="Z131" s="30"/>
    </row>
    <row r="132" ht="42.75" customHeight="1">
      <c r="A132" s="168" t="s">
        <v>2485</v>
      </c>
      <c r="B132" s="119" t="s">
        <v>2486</v>
      </c>
      <c r="C132" s="38" t="s">
        <v>33</v>
      </c>
      <c r="D132" s="38" t="s">
        <v>400</v>
      </c>
      <c r="E132" s="38" t="s">
        <v>401</v>
      </c>
      <c r="F132" s="38" t="s">
        <v>68</v>
      </c>
      <c r="G132" s="169">
        <v>39051.0</v>
      </c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30"/>
      <c r="T132" s="30"/>
      <c r="U132" s="30"/>
      <c r="V132" s="30"/>
      <c r="W132" s="30"/>
      <c r="X132" s="30"/>
      <c r="Y132" s="30"/>
      <c r="Z132" s="30"/>
    </row>
    <row r="133" ht="42.75" customHeight="1">
      <c r="A133" s="166" t="s">
        <v>2487</v>
      </c>
      <c r="B133" s="136" t="s">
        <v>2488</v>
      </c>
      <c r="C133" s="137" t="s">
        <v>33</v>
      </c>
      <c r="D133" s="137" t="s">
        <v>402</v>
      </c>
      <c r="E133" s="137" t="s">
        <v>403</v>
      </c>
      <c r="F133" s="137" t="s">
        <v>68</v>
      </c>
      <c r="G133" s="167">
        <v>38930.0</v>
      </c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30"/>
      <c r="T133" s="30"/>
      <c r="U133" s="30"/>
      <c r="V133" s="30"/>
      <c r="W133" s="30"/>
      <c r="X133" s="30"/>
      <c r="Y133" s="30"/>
      <c r="Z133" s="30"/>
    </row>
    <row r="134" ht="28.5" customHeight="1">
      <c r="A134" s="172" t="s">
        <v>2489</v>
      </c>
      <c r="B134" s="171" t="s">
        <v>2490</v>
      </c>
      <c r="C134" s="172" t="s">
        <v>276</v>
      </c>
      <c r="D134" s="172" t="s">
        <v>404</v>
      </c>
      <c r="E134" s="172" t="s">
        <v>405</v>
      </c>
      <c r="F134" s="172" t="s">
        <v>123</v>
      </c>
      <c r="G134" s="173">
        <v>39051.0</v>
      </c>
      <c r="H134" s="175" t="s">
        <v>2399</v>
      </c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42.75" customHeight="1">
      <c r="A135" s="166" t="s">
        <v>2491</v>
      </c>
      <c r="B135" s="136" t="s">
        <v>2492</v>
      </c>
      <c r="C135" s="137" t="s">
        <v>33</v>
      </c>
      <c r="D135" s="137" t="s">
        <v>406</v>
      </c>
      <c r="E135" s="137" t="s">
        <v>407</v>
      </c>
      <c r="F135" s="137" t="s">
        <v>36</v>
      </c>
      <c r="G135" s="167">
        <v>39009.0</v>
      </c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30"/>
      <c r="T135" s="30"/>
      <c r="U135" s="30"/>
      <c r="V135" s="30"/>
      <c r="W135" s="30"/>
      <c r="X135" s="30"/>
      <c r="Y135" s="30"/>
      <c r="Z135" s="30"/>
    </row>
    <row r="136" ht="28.5" customHeight="1">
      <c r="A136" s="168" t="s">
        <v>2493</v>
      </c>
      <c r="B136" s="119" t="s">
        <v>2494</v>
      </c>
      <c r="C136" s="38" t="s">
        <v>33</v>
      </c>
      <c r="D136" s="38" t="s">
        <v>408</v>
      </c>
      <c r="E136" s="38" t="s">
        <v>409</v>
      </c>
      <c r="F136" s="38" t="s">
        <v>399</v>
      </c>
      <c r="G136" s="169">
        <v>38826.0</v>
      </c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30"/>
      <c r="T136" s="30"/>
      <c r="U136" s="30"/>
      <c r="V136" s="30"/>
      <c r="W136" s="30"/>
      <c r="X136" s="30"/>
      <c r="Y136" s="30"/>
      <c r="Z136" s="30"/>
    </row>
    <row r="137" ht="63.75" customHeight="1">
      <c r="A137" s="166" t="s">
        <v>2495</v>
      </c>
      <c r="B137" s="136" t="s">
        <v>2496</v>
      </c>
      <c r="C137" s="137" t="s">
        <v>410</v>
      </c>
      <c r="D137" s="137" t="s">
        <v>411</v>
      </c>
      <c r="E137" s="137" t="s">
        <v>412</v>
      </c>
      <c r="F137" s="137" t="s">
        <v>413</v>
      </c>
      <c r="G137" s="167">
        <v>39051.0</v>
      </c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30"/>
      <c r="T137" s="30"/>
      <c r="U137" s="30"/>
      <c r="V137" s="30"/>
      <c r="W137" s="30"/>
      <c r="X137" s="30"/>
      <c r="Y137" s="30"/>
      <c r="Z137" s="30"/>
    </row>
    <row r="138" ht="38.25" customHeight="1">
      <c r="A138" s="168" t="s">
        <v>2497</v>
      </c>
      <c r="B138" s="119" t="s">
        <v>2498</v>
      </c>
      <c r="C138" s="38" t="s">
        <v>116</v>
      </c>
      <c r="D138" s="38" t="s">
        <v>414</v>
      </c>
      <c r="E138" s="38" t="s">
        <v>415</v>
      </c>
      <c r="F138" s="38" t="s">
        <v>73</v>
      </c>
      <c r="G138" s="169">
        <v>38965.0</v>
      </c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30"/>
      <c r="T138" s="30"/>
      <c r="U138" s="30"/>
      <c r="V138" s="30"/>
      <c r="W138" s="30"/>
      <c r="X138" s="30"/>
      <c r="Y138" s="30"/>
      <c r="Z138" s="30"/>
    </row>
    <row r="139" ht="38.25" customHeight="1">
      <c r="A139" s="166" t="s">
        <v>2499</v>
      </c>
      <c r="B139" s="136" t="s">
        <v>2500</v>
      </c>
      <c r="C139" s="137" t="s">
        <v>47</v>
      </c>
      <c r="D139" s="137" t="s">
        <v>416</v>
      </c>
      <c r="E139" s="137" t="s">
        <v>417</v>
      </c>
      <c r="F139" s="137" t="s">
        <v>205</v>
      </c>
      <c r="G139" s="167">
        <v>38818.0</v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30"/>
      <c r="T139" s="30"/>
      <c r="U139" s="30"/>
      <c r="V139" s="30"/>
      <c r="W139" s="30"/>
      <c r="X139" s="30"/>
      <c r="Y139" s="30"/>
      <c r="Z139" s="30"/>
    </row>
    <row r="140" ht="38.25" customHeight="1">
      <c r="A140" s="168" t="s">
        <v>2501</v>
      </c>
      <c r="B140" s="119" t="s">
        <v>2502</v>
      </c>
      <c r="C140" s="38" t="s">
        <v>18</v>
      </c>
      <c r="D140" s="38" t="s">
        <v>418</v>
      </c>
      <c r="E140" s="38" t="s">
        <v>419</v>
      </c>
      <c r="F140" s="38" t="s">
        <v>300</v>
      </c>
      <c r="G140" s="169">
        <v>38826.0</v>
      </c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30"/>
      <c r="T140" s="30"/>
      <c r="U140" s="30"/>
      <c r="V140" s="30"/>
      <c r="W140" s="30"/>
      <c r="X140" s="30"/>
      <c r="Y140" s="30"/>
      <c r="Z140" s="30"/>
    </row>
    <row r="141" ht="51.0" customHeight="1">
      <c r="A141" s="166" t="s">
        <v>2503</v>
      </c>
      <c r="B141" s="136" t="s">
        <v>2504</v>
      </c>
      <c r="C141" s="137" t="s">
        <v>23</v>
      </c>
      <c r="D141" s="137" t="s">
        <v>420</v>
      </c>
      <c r="E141" s="137" t="s">
        <v>421</v>
      </c>
      <c r="F141" s="137" t="s">
        <v>147</v>
      </c>
      <c r="G141" s="167">
        <v>38990.0</v>
      </c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30"/>
      <c r="T141" s="30"/>
      <c r="U141" s="30"/>
      <c r="V141" s="30"/>
      <c r="W141" s="30"/>
      <c r="X141" s="30"/>
      <c r="Y141" s="30"/>
      <c r="Z141" s="30"/>
    </row>
    <row r="142" ht="38.25" customHeight="1">
      <c r="A142" s="168" t="s">
        <v>2505</v>
      </c>
      <c r="B142" s="119" t="s">
        <v>2506</v>
      </c>
      <c r="C142" s="38" t="s">
        <v>33</v>
      </c>
      <c r="D142" s="38" t="s">
        <v>422</v>
      </c>
      <c r="E142" s="38" t="s">
        <v>423</v>
      </c>
      <c r="F142" s="38" t="s">
        <v>180</v>
      </c>
      <c r="G142" s="169">
        <v>38946.0</v>
      </c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30"/>
      <c r="T142" s="30"/>
      <c r="U142" s="30"/>
      <c r="V142" s="30"/>
      <c r="W142" s="30"/>
      <c r="X142" s="30"/>
      <c r="Y142" s="30"/>
      <c r="Z142" s="30"/>
    </row>
    <row r="143" ht="28.5" customHeight="1">
      <c r="A143" s="176" t="s">
        <v>2507</v>
      </c>
      <c r="B143" s="136" t="s">
        <v>2508</v>
      </c>
      <c r="C143" s="137" t="s">
        <v>424</v>
      </c>
      <c r="D143" s="137" t="s">
        <v>425</v>
      </c>
      <c r="E143" s="137" t="s">
        <v>426</v>
      </c>
      <c r="F143" s="137" t="s">
        <v>300</v>
      </c>
      <c r="G143" s="137">
        <v>2006.0</v>
      </c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30"/>
      <c r="T143" s="30"/>
      <c r="U143" s="30"/>
      <c r="V143" s="30"/>
      <c r="W143" s="30"/>
      <c r="X143" s="30"/>
      <c r="Y143" s="30"/>
      <c r="Z143" s="30"/>
    </row>
    <row r="144" ht="28.5" customHeight="1">
      <c r="A144" s="168" t="s">
        <v>2509</v>
      </c>
      <c r="B144" s="119" t="s">
        <v>2510</v>
      </c>
      <c r="C144" s="38" t="s">
        <v>70</v>
      </c>
      <c r="D144" s="38" t="s">
        <v>427</v>
      </c>
      <c r="E144" s="38" t="s">
        <v>428</v>
      </c>
      <c r="F144" s="38" t="s">
        <v>184</v>
      </c>
      <c r="G144" s="38">
        <v>2006.0</v>
      </c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30"/>
      <c r="T144" s="30"/>
      <c r="U144" s="30"/>
      <c r="V144" s="30"/>
      <c r="W144" s="30"/>
      <c r="X144" s="30"/>
      <c r="Y144" s="30"/>
      <c r="Z144" s="30"/>
    </row>
    <row r="145" ht="43.5" customHeight="1">
      <c r="A145" s="166" t="s">
        <v>2511</v>
      </c>
      <c r="B145" s="136" t="s">
        <v>2512</v>
      </c>
      <c r="C145" s="38" t="s">
        <v>61</v>
      </c>
      <c r="D145" s="137" t="s">
        <v>429</v>
      </c>
      <c r="E145" s="137" t="s">
        <v>430</v>
      </c>
      <c r="F145" s="137" t="s">
        <v>31</v>
      </c>
      <c r="G145" s="137">
        <v>2006.0</v>
      </c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30"/>
      <c r="T145" s="30"/>
      <c r="U145" s="30"/>
      <c r="V145" s="30"/>
      <c r="W145" s="30"/>
      <c r="X145" s="30"/>
      <c r="Y145" s="30"/>
      <c r="Z145" s="30"/>
    </row>
    <row r="146" ht="72.75" customHeight="1">
      <c r="A146" s="150" t="s">
        <v>2513</v>
      </c>
      <c r="B146" s="151" t="s">
        <v>2514</v>
      </c>
      <c r="C146" s="152" t="s">
        <v>70</v>
      </c>
      <c r="D146" s="152" t="s">
        <v>431</v>
      </c>
      <c r="E146" s="137" t="s">
        <v>432</v>
      </c>
      <c r="F146" s="152" t="s">
        <v>433</v>
      </c>
      <c r="G146" s="154">
        <v>39154.0</v>
      </c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30"/>
      <c r="T146" s="30"/>
      <c r="U146" s="30"/>
      <c r="V146" s="30"/>
      <c r="W146" s="30"/>
      <c r="X146" s="30"/>
      <c r="Y146" s="30"/>
      <c r="Z146" s="30"/>
    </row>
    <row r="147" ht="42.75" customHeight="1">
      <c r="A147" s="139" t="s">
        <v>2515</v>
      </c>
      <c r="B147" s="119" t="s">
        <v>2516</v>
      </c>
      <c r="C147" s="38" t="s">
        <v>23</v>
      </c>
      <c r="D147" s="38" t="s">
        <v>434</v>
      </c>
      <c r="E147" s="38" t="s">
        <v>435</v>
      </c>
      <c r="F147" s="38" t="s">
        <v>147</v>
      </c>
      <c r="G147" s="140">
        <v>39290.0</v>
      </c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30"/>
      <c r="T147" s="30"/>
      <c r="U147" s="30"/>
      <c r="V147" s="30"/>
      <c r="W147" s="30"/>
      <c r="X147" s="30"/>
      <c r="Y147" s="30"/>
      <c r="Z147" s="30"/>
    </row>
    <row r="148" ht="42.75" customHeight="1">
      <c r="A148" s="135" t="s">
        <v>2517</v>
      </c>
      <c r="B148" s="136" t="s">
        <v>2518</v>
      </c>
      <c r="C148" s="137" t="s">
        <v>33</v>
      </c>
      <c r="D148" s="137" t="s">
        <v>436</v>
      </c>
      <c r="E148" s="137" t="s">
        <v>437</v>
      </c>
      <c r="F148" s="137" t="s">
        <v>36</v>
      </c>
      <c r="G148" s="138">
        <v>39171.0</v>
      </c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30"/>
      <c r="T148" s="30"/>
      <c r="U148" s="30"/>
      <c r="V148" s="30"/>
      <c r="W148" s="30"/>
      <c r="X148" s="30"/>
      <c r="Y148" s="30"/>
      <c r="Z148" s="30"/>
    </row>
    <row r="149" ht="42.75" customHeight="1">
      <c r="A149" s="139" t="s">
        <v>2519</v>
      </c>
      <c r="B149" s="119" t="s">
        <v>2520</v>
      </c>
      <c r="C149" s="38" t="s">
        <v>167</v>
      </c>
      <c r="D149" s="38" t="s">
        <v>438</v>
      </c>
      <c r="E149" s="38" t="s">
        <v>439</v>
      </c>
      <c r="F149" s="38" t="s">
        <v>170</v>
      </c>
      <c r="G149" s="140">
        <v>39264.0</v>
      </c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30"/>
      <c r="T149" s="30"/>
      <c r="U149" s="30"/>
      <c r="V149" s="30"/>
      <c r="W149" s="30"/>
      <c r="X149" s="30"/>
      <c r="Y149" s="30"/>
      <c r="Z149" s="30"/>
    </row>
    <row r="150" ht="42.75" customHeight="1">
      <c r="A150" s="135" t="s">
        <v>2521</v>
      </c>
      <c r="B150" s="136" t="s">
        <v>2522</v>
      </c>
      <c r="C150" s="137" t="s">
        <v>410</v>
      </c>
      <c r="D150" s="137" t="s">
        <v>440</v>
      </c>
      <c r="E150" s="137" t="s">
        <v>441</v>
      </c>
      <c r="F150" s="137" t="s">
        <v>442</v>
      </c>
      <c r="G150" s="138">
        <v>39308.0</v>
      </c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30"/>
      <c r="T150" s="30"/>
      <c r="U150" s="30"/>
      <c r="V150" s="30"/>
      <c r="W150" s="30"/>
      <c r="X150" s="30"/>
      <c r="Y150" s="30"/>
      <c r="Z150" s="30"/>
    </row>
    <row r="151" ht="38.25" customHeight="1">
      <c r="A151" s="139" t="s">
        <v>2523</v>
      </c>
      <c r="B151" s="119" t="s">
        <v>2524</v>
      </c>
      <c r="C151" s="38" t="s">
        <v>61</v>
      </c>
      <c r="D151" s="38" t="s">
        <v>443</v>
      </c>
      <c r="E151" s="38" t="s">
        <v>444</v>
      </c>
      <c r="F151" s="38" t="s">
        <v>433</v>
      </c>
      <c r="G151" s="140">
        <v>39431.0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30"/>
      <c r="T151" s="30"/>
      <c r="U151" s="30"/>
      <c r="V151" s="30"/>
      <c r="W151" s="30"/>
      <c r="X151" s="30"/>
      <c r="Y151" s="30"/>
      <c r="Z151" s="30"/>
    </row>
    <row r="152" ht="38.25" customHeight="1">
      <c r="A152" s="135" t="s">
        <v>2525</v>
      </c>
      <c r="B152" s="136" t="s">
        <v>2526</v>
      </c>
      <c r="C152" s="137" t="s">
        <v>252</v>
      </c>
      <c r="D152" s="137" t="s">
        <v>445</v>
      </c>
      <c r="E152" s="137" t="s">
        <v>446</v>
      </c>
      <c r="F152" s="137" t="s">
        <v>447</v>
      </c>
      <c r="G152" s="138">
        <v>39496.0</v>
      </c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30"/>
      <c r="T152" s="30"/>
      <c r="U152" s="30"/>
      <c r="V152" s="30"/>
      <c r="W152" s="30"/>
      <c r="X152" s="30"/>
      <c r="Y152" s="30"/>
      <c r="Z152" s="30"/>
    </row>
    <row r="153" ht="38.25" customHeight="1">
      <c r="A153" s="139" t="s">
        <v>2527</v>
      </c>
      <c r="B153" s="119" t="s">
        <v>2528</v>
      </c>
      <c r="C153" s="38" t="s">
        <v>23</v>
      </c>
      <c r="D153" s="38" t="s">
        <v>448</v>
      </c>
      <c r="E153" s="38" t="s">
        <v>449</v>
      </c>
      <c r="F153" s="38" t="s">
        <v>88</v>
      </c>
      <c r="G153" s="140">
        <v>39507.0</v>
      </c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30"/>
      <c r="T153" s="30"/>
      <c r="U153" s="30"/>
      <c r="V153" s="30"/>
      <c r="W153" s="30"/>
      <c r="X153" s="30"/>
      <c r="Y153" s="30"/>
      <c r="Z153" s="30"/>
    </row>
    <row r="154" ht="42.75" customHeight="1">
      <c r="A154" s="135" t="s">
        <v>2529</v>
      </c>
      <c r="B154" s="136" t="s">
        <v>2530</v>
      </c>
      <c r="C154" s="137" t="s">
        <v>47</v>
      </c>
      <c r="D154" s="137" t="s">
        <v>450</v>
      </c>
      <c r="E154" s="137" t="s">
        <v>451</v>
      </c>
      <c r="F154" s="137" t="s">
        <v>452</v>
      </c>
      <c r="G154" s="138">
        <v>39479.0</v>
      </c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30"/>
      <c r="T154" s="30"/>
      <c r="U154" s="30"/>
      <c r="V154" s="30"/>
      <c r="W154" s="30"/>
      <c r="X154" s="30"/>
      <c r="Y154" s="30"/>
      <c r="Z154" s="30"/>
    </row>
    <row r="155" ht="28.5" customHeight="1">
      <c r="A155" s="139" t="s">
        <v>2531</v>
      </c>
      <c r="B155" s="119" t="s">
        <v>2532</v>
      </c>
      <c r="C155" s="38" t="s">
        <v>116</v>
      </c>
      <c r="D155" s="38" t="s">
        <v>453</v>
      </c>
      <c r="E155" s="38" t="s">
        <v>454</v>
      </c>
      <c r="F155" s="38" t="s">
        <v>399</v>
      </c>
      <c r="G155" s="140">
        <v>39499.0</v>
      </c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30"/>
      <c r="T155" s="30"/>
      <c r="U155" s="30"/>
      <c r="V155" s="30"/>
      <c r="W155" s="30"/>
      <c r="X155" s="30"/>
      <c r="Y155" s="30"/>
      <c r="Z155" s="30"/>
    </row>
    <row r="156" ht="42.75" customHeight="1">
      <c r="A156" s="135" t="s">
        <v>2533</v>
      </c>
      <c r="B156" s="136" t="s">
        <v>2534</v>
      </c>
      <c r="C156" s="137" t="s">
        <v>61</v>
      </c>
      <c r="D156" s="137" t="s">
        <v>455</v>
      </c>
      <c r="E156" s="137" t="s">
        <v>456</v>
      </c>
      <c r="F156" s="137" t="s">
        <v>41</v>
      </c>
      <c r="G156" s="138">
        <v>39594.0</v>
      </c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30"/>
      <c r="T156" s="30"/>
      <c r="U156" s="30"/>
      <c r="V156" s="30"/>
      <c r="W156" s="30"/>
      <c r="X156" s="30"/>
      <c r="Y156" s="30"/>
      <c r="Z156" s="30"/>
    </row>
    <row r="157" ht="38.25" customHeight="1">
      <c r="A157" s="139" t="s">
        <v>2535</v>
      </c>
      <c r="B157" s="119" t="s">
        <v>2536</v>
      </c>
      <c r="C157" s="38" t="s">
        <v>61</v>
      </c>
      <c r="D157" s="38" t="s">
        <v>457</v>
      </c>
      <c r="E157" s="38" t="s">
        <v>458</v>
      </c>
      <c r="F157" s="38" t="s">
        <v>88</v>
      </c>
      <c r="G157" s="140">
        <v>39297.0</v>
      </c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30"/>
      <c r="T157" s="30"/>
      <c r="U157" s="30"/>
      <c r="V157" s="30"/>
      <c r="W157" s="30"/>
      <c r="X157" s="30"/>
      <c r="Y157" s="30"/>
      <c r="Z157" s="30"/>
    </row>
    <row r="158" ht="38.25" customHeight="1">
      <c r="A158" s="135" t="s">
        <v>2537</v>
      </c>
      <c r="B158" s="136" t="s">
        <v>2538</v>
      </c>
      <c r="C158" s="137" t="s">
        <v>116</v>
      </c>
      <c r="D158" s="137" t="s">
        <v>459</v>
      </c>
      <c r="E158" s="137" t="s">
        <v>460</v>
      </c>
      <c r="F158" s="137" t="s">
        <v>180</v>
      </c>
      <c r="G158" s="138">
        <v>39301.0</v>
      </c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30"/>
      <c r="T158" s="30"/>
      <c r="U158" s="30"/>
      <c r="V158" s="30"/>
      <c r="W158" s="30"/>
      <c r="X158" s="30"/>
      <c r="Y158" s="30"/>
      <c r="Z158" s="30"/>
    </row>
    <row r="159" ht="42.75" customHeight="1">
      <c r="A159" s="139" t="s">
        <v>2539</v>
      </c>
      <c r="B159" s="119" t="s">
        <v>2540</v>
      </c>
      <c r="C159" s="38" t="s">
        <v>18</v>
      </c>
      <c r="D159" s="38" t="s">
        <v>461</v>
      </c>
      <c r="E159" s="38" t="s">
        <v>462</v>
      </c>
      <c r="F159" s="38" t="s">
        <v>68</v>
      </c>
      <c r="G159" s="140">
        <v>39436.0</v>
      </c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30"/>
      <c r="T159" s="30"/>
      <c r="U159" s="30"/>
      <c r="V159" s="30"/>
      <c r="W159" s="30"/>
      <c r="X159" s="30"/>
      <c r="Y159" s="30"/>
      <c r="Z159" s="30"/>
    </row>
    <row r="160" ht="42.75" customHeight="1">
      <c r="A160" s="135" t="s">
        <v>2541</v>
      </c>
      <c r="B160" s="136" t="s">
        <v>2542</v>
      </c>
      <c r="C160" s="137" t="s">
        <v>18</v>
      </c>
      <c r="D160" s="137" t="s">
        <v>463</v>
      </c>
      <c r="E160" s="137" t="s">
        <v>464</v>
      </c>
      <c r="F160" s="137" t="s">
        <v>184</v>
      </c>
      <c r="G160" s="138">
        <v>39315.0</v>
      </c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30"/>
      <c r="T160" s="30"/>
      <c r="U160" s="30"/>
      <c r="V160" s="30"/>
      <c r="W160" s="30"/>
      <c r="X160" s="30"/>
      <c r="Y160" s="30"/>
      <c r="Z160" s="30"/>
    </row>
    <row r="161" ht="63.75" customHeight="1">
      <c r="A161" s="139" t="s">
        <v>2543</v>
      </c>
      <c r="B161" s="119" t="s">
        <v>2544</v>
      </c>
      <c r="C161" s="38" t="s">
        <v>43</v>
      </c>
      <c r="D161" s="38" t="s">
        <v>465</v>
      </c>
      <c r="E161" s="38" t="s">
        <v>466</v>
      </c>
      <c r="F161" s="38" t="s">
        <v>201</v>
      </c>
      <c r="G161" s="140">
        <v>39090.0</v>
      </c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30"/>
      <c r="T161" s="30"/>
      <c r="U161" s="30"/>
      <c r="V161" s="30"/>
      <c r="W161" s="30"/>
      <c r="X161" s="30"/>
      <c r="Y161" s="30"/>
      <c r="Z161" s="30"/>
    </row>
    <row r="162" ht="42.75" customHeight="1">
      <c r="A162" s="135" t="s">
        <v>2545</v>
      </c>
      <c r="B162" s="136" t="s">
        <v>2546</v>
      </c>
      <c r="C162" s="137" t="s">
        <v>167</v>
      </c>
      <c r="D162" s="137" t="s">
        <v>467</v>
      </c>
      <c r="E162" s="137" t="s">
        <v>468</v>
      </c>
      <c r="F162" s="137" t="s">
        <v>147</v>
      </c>
      <c r="G162" s="138">
        <v>39507.0</v>
      </c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30"/>
      <c r="T162" s="30"/>
      <c r="U162" s="30"/>
      <c r="V162" s="30"/>
      <c r="W162" s="30"/>
      <c r="X162" s="30"/>
      <c r="Y162" s="30"/>
      <c r="Z162" s="30"/>
    </row>
    <row r="163" ht="42.75" customHeight="1">
      <c r="A163" s="139" t="s">
        <v>2547</v>
      </c>
      <c r="B163" s="119" t="s">
        <v>2548</v>
      </c>
      <c r="C163" s="38" t="s">
        <v>61</v>
      </c>
      <c r="D163" s="38" t="s">
        <v>469</v>
      </c>
      <c r="E163" s="38" t="s">
        <v>470</v>
      </c>
      <c r="F163" s="38" t="s">
        <v>41</v>
      </c>
      <c r="G163" s="140">
        <v>39500.0</v>
      </c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30"/>
      <c r="T163" s="30"/>
      <c r="U163" s="30"/>
      <c r="V163" s="30"/>
      <c r="W163" s="30"/>
      <c r="X163" s="30"/>
      <c r="Y163" s="30"/>
      <c r="Z163" s="30"/>
    </row>
    <row r="164" ht="38.25" customHeight="1">
      <c r="A164" s="135" t="s">
        <v>2549</v>
      </c>
      <c r="B164" s="136" t="s">
        <v>2550</v>
      </c>
      <c r="C164" s="137" t="s">
        <v>52</v>
      </c>
      <c r="D164" s="137" t="s">
        <v>2551</v>
      </c>
      <c r="E164" s="137" t="s">
        <v>472</v>
      </c>
      <c r="F164" s="137" t="s">
        <v>473</v>
      </c>
      <c r="G164" s="138">
        <v>39143.0</v>
      </c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30"/>
      <c r="T164" s="30"/>
      <c r="U164" s="30"/>
      <c r="V164" s="30"/>
      <c r="W164" s="30"/>
      <c r="X164" s="30"/>
      <c r="Y164" s="30"/>
      <c r="Z164" s="30"/>
    </row>
    <row r="165" ht="51.0" customHeight="1">
      <c r="A165" s="139" t="s">
        <v>2552</v>
      </c>
      <c r="B165" s="119" t="s">
        <v>2553</v>
      </c>
      <c r="C165" s="38" t="s">
        <v>23</v>
      </c>
      <c r="D165" s="38" t="s">
        <v>474</v>
      </c>
      <c r="E165" s="38" t="s">
        <v>475</v>
      </c>
      <c r="F165" s="38" t="s">
        <v>476</v>
      </c>
      <c r="G165" s="140">
        <v>39153.0</v>
      </c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30"/>
      <c r="T165" s="30"/>
      <c r="U165" s="30"/>
      <c r="V165" s="30"/>
      <c r="W165" s="30"/>
      <c r="X165" s="30"/>
      <c r="Y165" s="30"/>
      <c r="Z165" s="30"/>
    </row>
    <row r="166" ht="38.25" customHeight="1">
      <c r="A166" s="135" t="s">
        <v>2554</v>
      </c>
      <c r="B166" s="136" t="s">
        <v>2555</v>
      </c>
      <c r="C166" s="137" t="s">
        <v>137</v>
      </c>
      <c r="D166" s="137" t="s">
        <v>477</v>
      </c>
      <c r="E166" s="137" t="s">
        <v>478</v>
      </c>
      <c r="F166" s="137" t="s">
        <v>88</v>
      </c>
      <c r="G166" s="138">
        <v>39416.0</v>
      </c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30"/>
      <c r="T166" s="30"/>
      <c r="U166" s="30"/>
      <c r="V166" s="30"/>
      <c r="W166" s="30"/>
      <c r="X166" s="30"/>
      <c r="Y166" s="30"/>
      <c r="Z166" s="30"/>
    </row>
    <row r="167" ht="51.0" customHeight="1">
      <c r="A167" s="139" t="s">
        <v>2556</v>
      </c>
      <c r="B167" s="119" t="s">
        <v>2557</v>
      </c>
      <c r="C167" s="38" t="s">
        <v>111</v>
      </c>
      <c r="D167" s="38" t="s">
        <v>479</v>
      </c>
      <c r="E167" s="38" t="s">
        <v>480</v>
      </c>
      <c r="F167" s="38" t="s">
        <v>31</v>
      </c>
      <c r="G167" s="140">
        <v>39170.0</v>
      </c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30"/>
      <c r="T167" s="30"/>
      <c r="U167" s="30"/>
      <c r="V167" s="30"/>
      <c r="W167" s="30"/>
      <c r="X167" s="30"/>
      <c r="Y167" s="30"/>
      <c r="Z167" s="30"/>
    </row>
    <row r="168" ht="42.75" customHeight="1">
      <c r="A168" s="135" t="s">
        <v>2558</v>
      </c>
      <c r="B168" s="136" t="s">
        <v>2559</v>
      </c>
      <c r="C168" s="137" t="s">
        <v>167</v>
      </c>
      <c r="D168" s="137" t="s">
        <v>481</v>
      </c>
      <c r="E168" s="137" t="s">
        <v>482</v>
      </c>
      <c r="F168" s="137" t="s">
        <v>326</v>
      </c>
      <c r="G168" s="138">
        <v>39321.0</v>
      </c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30"/>
      <c r="T168" s="30"/>
      <c r="U168" s="30"/>
      <c r="V168" s="30"/>
      <c r="W168" s="30"/>
      <c r="X168" s="30"/>
      <c r="Y168" s="30"/>
      <c r="Z168" s="30"/>
    </row>
    <row r="169" ht="38.25" customHeight="1">
      <c r="A169" s="139" t="s">
        <v>2560</v>
      </c>
      <c r="B169" s="119" t="s">
        <v>2561</v>
      </c>
      <c r="C169" s="38" t="s">
        <v>18</v>
      </c>
      <c r="D169" s="38" t="s">
        <v>483</v>
      </c>
      <c r="E169" s="38" t="s">
        <v>484</v>
      </c>
      <c r="F169" s="38" t="s">
        <v>184</v>
      </c>
      <c r="G169" s="140">
        <v>39468.0</v>
      </c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30"/>
      <c r="T169" s="30"/>
      <c r="U169" s="30"/>
      <c r="V169" s="30"/>
      <c r="W169" s="30"/>
      <c r="X169" s="30"/>
      <c r="Y169" s="30"/>
      <c r="Z169" s="30"/>
    </row>
    <row r="170" ht="51.0" customHeight="1">
      <c r="A170" s="135" t="s">
        <v>2562</v>
      </c>
      <c r="B170" s="136" t="s">
        <v>2563</v>
      </c>
      <c r="C170" s="137" t="s">
        <v>111</v>
      </c>
      <c r="D170" s="137" t="s">
        <v>485</v>
      </c>
      <c r="E170" s="137" t="s">
        <v>486</v>
      </c>
      <c r="F170" s="137" t="s">
        <v>399</v>
      </c>
      <c r="G170" s="138">
        <v>39489.0</v>
      </c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30"/>
      <c r="T170" s="30"/>
      <c r="U170" s="30"/>
      <c r="V170" s="30"/>
      <c r="W170" s="30"/>
      <c r="X170" s="30"/>
      <c r="Y170" s="30"/>
      <c r="Z170" s="30"/>
    </row>
    <row r="171" ht="63.75" customHeight="1">
      <c r="A171" s="139" t="s">
        <v>2564</v>
      </c>
      <c r="B171" s="119" t="s">
        <v>2565</v>
      </c>
      <c r="C171" s="38" t="s">
        <v>47</v>
      </c>
      <c r="D171" s="38" t="s">
        <v>487</v>
      </c>
      <c r="E171" s="38" t="s">
        <v>488</v>
      </c>
      <c r="F171" s="38" t="s">
        <v>26</v>
      </c>
      <c r="G171" s="140">
        <v>39095.0</v>
      </c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30"/>
      <c r="T171" s="30"/>
      <c r="U171" s="30"/>
      <c r="V171" s="30"/>
      <c r="W171" s="30"/>
      <c r="X171" s="30"/>
      <c r="Y171" s="30"/>
      <c r="Z171" s="30"/>
    </row>
    <row r="172" ht="57.0" customHeight="1">
      <c r="A172" s="135" t="s">
        <v>2566</v>
      </c>
      <c r="B172" s="136" t="s">
        <v>2567</v>
      </c>
      <c r="C172" s="137" t="s">
        <v>47</v>
      </c>
      <c r="D172" s="137" t="s">
        <v>489</v>
      </c>
      <c r="E172" s="137" t="s">
        <v>490</v>
      </c>
      <c r="F172" s="137" t="s">
        <v>447</v>
      </c>
      <c r="G172" s="138">
        <v>39428.0</v>
      </c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30"/>
      <c r="T172" s="30"/>
      <c r="U172" s="30"/>
      <c r="V172" s="30"/>
      <c r="W172" s="30"/>
      <c r="X172" s="30"/>
      <c r="Y172" s="30"/>
      <c r="Z172" s="30"/>
    </row>
    <row r="173" ht="38.25" customHeight="1">
      <c r="A173" s="139" t="s">
        <v>2568</v>
      </c>
      <c r="B173" s="119" t="s">
        <v>2569</v>
      </c>
      <c r="C173" s="38" t="s">
        <v>47</v>
      </c>
      <c r="D173" s="38" t="s">
        <v>491</v>
      </c>
      <c r="E173" s="38" t="s">
        <v>492</v>
      </c>
      <c r="F173" s="38" t="s">
        <v>473</v>
      </c>
      <c r="G173" s="140">
        <v>39416.0</v>
      </c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30"/>
      <c r="T173" s="30"/>
      <c r="U173" s="30"/>
      <c r="V173" s="30"/>
      <c r="W173" s="30"/>
      <c r="X173" s="30"/>
      <c r="Y173" s="30"/>
      <c r="Z173" s="30"/>
    </row>
    <row r="174" ht="28.5" customHeight="1">
      <c r="A174" s="135" t="s">
        <v>2570</v>
      </c>
      <c r="B174" s="136" t="s">
        <v>2571</v>
      </c>
      <c r="C174" s="137" t="s">
        <v>195</v>
      </c>
      <c r="D174" s="137" t="s">
        <v>493</v>
      </c>
      <c r="E174" s="137" t="s">
        <v>494</v>
      </c>
      <c r="F174" s="137" t="s">
        <v>162</v>
      </c>
      <c r="G174" s="138">
        <v>39101.0</v>
      </c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30"/>
      <c r="T174" s="30"/>
      <c r="U174" s="30"/>
      <c r="V174" s="30"/>
      <c r="W174" s="30"/>
      <c r="X174" s="30"/>
      <c r="Y174" s="30"/>
      <c r="Z174" s="30"/>
    </row>
    <row r="175" ht="51.0" customHeight="1">
      <c r="A175" s="139" t="s">
        <v>2572</v>
      </c>
      <c r="B175" s="119" t="s">
        <v>2573</v>
      </c>
      <c r="C175" s="38" t="s">
        <v>18</v>
      </c>
      <c r="D175" s="38" t="s">
        <v>495</v>
      </c>
      <c r="E175" s="38" t="s">
        <v>496</v>
      </c>
      <c r="F175" s="38" t="s">
        <v>26</v>
      </c>
      <c r="G175" s="140">
        <v>39146.0</v>
      </c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30"/>
      <c r="T175" s="30"/>
      <c r="U175" s="30"/>
      <c r="V175" s="30"/>
      <c r="W175" s="30"/>
      <c r="X175" s="30"/>
      <c r="Y175" s="30"/>
      <c r="Z175" s="30"/>
    </row>
    <row r="176" ht="38.25" customHeight="1">
      <c r="A176" s="135" t="s">
        <v>2574</v>
      </c>
      <c r="B176" s="136" t="s">
        <v>2575</v>
      </c>
      <c r="C176" s="137" t="s">
        <v>301</v>
      </c>
      <c r="D176" s="137" t="s">
        <v>497</v>
      </c>
      <c r="E176" s="137" t="s">
        <v>498</v>
      </c>
      <c r="F176" s="137" t="s">
        <v>399</v>
      </c>
      <c r="G176" s="138">
        <v>39113.0</v>
      </c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30"/>
      <c r="T176" s="30"/>
      <c r="U176" s="30"/>
      <c r="V176" s="30"/>
      <c r="W176" s="30"/>
      <c r="X176" s="30"/>
      <c r="Y176" s="30"/>
      <c r="Z176" s="30"/>
    </row>
    <row r="177" ht="42.75" customHeight="1">
      <c r="A177" s="139" t="s">
        <v>2576</v>
      </c>
      <c r="B177" s="119" t="s">
        <v>2577</v>
      </c>
      <c r="C177" s="38" t="s">
        <v>13</v>
      </c>
      <c r="D177" s="38" t="s">
        <v>499</v>
      </c>
      <c r="E177" s="38" t="s">
        <v>500</v>
      </c>
      <c r="F177" s="38" t="s">
        <v>88</v>
      </c>
      <c r="G177" s="140">
        <v>39122.0</v>
      </c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30"/>
      <c r="T177" s="30"/>
      <c r="U177" s="30"/>
      <c r="V177" s="30"/>
      <c r="W177" s="30"/>
      <c r="X177" s="30"/>
      <c r="Y177" s="30"/>
      <c r="Z177" s="30"/>
    </row>
    <row r="178" ht="51.0" customHeight="1">
      <c r="A178" s="135" t="s">
        <v>2578</v>
      </c>
      <c r="B178" s="136" t="s">
        <v>2579</v>
      </c>
      <c r="C178" s="137" t="s">
        <v>23</v>
      </c>
      <c r="D178" s="137" t="s">
        <v>501</v>
      </c>
      <c r="E178" s="137" t="s">
        <v>502</v>
      </c>
      <c r="F178" s="137" t="s">
        <v>184</v>
      </c>
      <c r="G178" s="138">
        <v>39277.0</v>
      </c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30"/>
      <c r="T178" s="30"/>
      <c r="U178" s="30"/>
      <c r="V178" s="30"/>
      <c r="W178" s="30"/>
      <c r="X178" s="30"/>
      <c r="Y178" s="30"/>
      <c r="Z178" s="30"/>
    </row>
    <row r="179" ht="51.0" customHeight="1">
      <c r="A179" s="139" t="s">
        <v>2580</v>
      </c>
      <c r="B179" s="119" t="s">
        <v>2581</v>
      </c>
      <c r="C179" s="38" t="s">
        <v>13</v>
      </c>
      <c r="D179" s="38" t="s">
        <v>503</v>
      </c>
      <c r="E179" s="38" t="s">
        <v>504</v>
      </c>
      <c r="F179" s="38" t="s">
        <v>505</v>
      </c>
      <c r="G179" s="140">
        <v>39126.0</v>
      </c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30"/>
      <c r="T179" s="30"/>
      <c r="U179" s="30"/>
      <c r="V179" s="30"/>
      <c r="W179" s="30"/>
      <c r="X179" s="30"/>
      <c r="Y179" s="30"/>
      <c r="Z179" s="30"/>
    </row>
    <row r="180" ht="42.75" customHeight="1">
      <c r="A180" s="135" t="s">
        <v>2582</v>
      </c>
      <c r="B180" s="136" t="s">
        <v>2583</v>
      </c>
      <c r="C180" s="137" t="s">
        <v>13</v>
      </c>
      <c r="D180" s="137" t="s">
        <v>506</v>
      </c>
      <c r="E180" s="137" t="s">
        <v>507</v>
      </c>
      <c r="F180" s="137" t="s">
        <v>88</v>
      </c>
      <c r="G180" s="138">
        <v>39294.0</v>
      </c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30"/>
      <c r="T180" s="30"/>
      <c r="U180" s="30"/>
      <c r="V180" s="30"/>
      <c r="W180" s="30"/>
      <c r="X180" s="30"/>
      <c r="Y180" s="30"/>
      <c r="Z180" s="30"/>
    </row>
    <row r="181" ht="51.0" customHeight="1">
      <c r="A181" s="139" t="s">
        <v>2584</v>
      </c>
      <c r="B181" s="119" t="s">
        <v>2585</v>
      </c>
      <c r="C181" s="38" t="s">
        <v>276</v>
      </c>
      <c r="D181" s="38" t="s">
        <v>508</v>
      </c>
      <c r="E181" s="38" t="s">
        <v>509</v>
      </c>
      <c r="F181" s="38" t="s">
        <v>510</v>
      </c>
      <c r="G181" s="140">
        <v>39416.0</v>
      </c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30"/>
      <c r="T181" s="30"/>
      <c r="U181" s="30"/>
      <c r="V181" s="30"/>
      <c r="W181" s="30"/>
      <c r="X181" s="30"/>
      <c r="Y181" s="30"/>
      <c r="Z181" s="30"/>
    </row>
    <row r="182" ht="42.75" customHeight="1">
      <c r="A182" s="135" t="s">
        <v>2586</v>
      </c>
      <c r="B182" s="136" t="s">
        <v>2587</v>
      </c>
      <c r="C182" s="137" t="s">
        <v>23</v>
      </c>
      <c r="D182" s="137" t="s">
        <v>511</v>
      </c>
      <c r="E182" s="137" t="s">
        <v>512</v>
      </c>
      <c r="F182" s="137" t="s">
        <v>147</v>
      </c>
      <c r="G182" s="138">
        <v>39325.0</v>
      </c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30"/>
      <c r="T182" s="30"/>
      <c r="U182" s="30"/>
      <c r="V182" s="30"/>
      <c r="W182" s="30"/>
      <c r="X182" s="30"/>
      <c r="Y182" s="30"/>
      <c r="Z182" s="30"/>
    </row>
    <row r="183" ht="38.25" customHeight="1">
      <c r="A183" s="139" t="s">
        <v>2588</v>
      </c>
      <c r="B183" s="119" t="s">
        <v>2589</v>
      </c>
      <c r="C183" s="38" t="s">
        <v>18</v>
      </c>
      <c r="D183" s="38" t="s">
        <v>513</v>
      </c>
      <c r="E183" s="38" t="s">
        <v>514</v>
      </c>
      <c r="F183" s="38" t="s">
        <v>399</v>
      </c>
      <c r="G183" s="140">
        <v>39489.0</v>
      </c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30"/>
      <c r="T183" s="30"/>
      <c r="U183" s="30"/>
      <c r="V183" s="30"/>
      <c r="W183" s="30"/>
      <c r="X183" s="30"/>
      <c r="Y183" s="30"/>
      <c r="Z183" s="30"/>
    </row>
    <row r="184" ht="51.0" customHeight="1">
      <c r="A184" s="135" t="s">
        <v>2590</v>
      </c>
      <c r="B184" s="136" t="s">
        <v>2591</v>
      </c>
      <c r="C184" s="137" t="s">
        <v>47</v>
      </c>
      <c r="D184" s="137" t="s">
        <v>515</v>
      </c>
      <c r="E184" s="137" t="s">
        <v>516</v>
      </c>
      <c r="F184" s="137" t="s">
        <v>205</v>
      </c>
      <c r="G184" s="138">
        <v>39146.0</v>
      </c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30"/>
      <c r="T184" s="30"/>
      <c r="U184" s="30"/>
      <c r="V184" s="30"/>
      <c r="W184" s="30"/>
      <c r="X184" s="30"/>
      <c r="Y184" s="30"/>
      <c r="Z184" s="30"/>
    </row>
    <row r="185" ht="42.75" customHeight="1">
      <c r="A185" s="139" t="s">
        <v>2592</v>
      </c>
      <c r="B185" s="119" t="s">
        <v>2593</v>
      </c>
      <c r="C185" s="38" t="s">
        <v>33</v>
      </c>
      <c r="D185" s="38" t="s">
        <v>517</v>
      </c>
      <c r="E185" s="38" t="s">
        <v>518</v>
      </c>
      <c r="F185" s="38" t="s">
        <v>68</v>
      </c>
      <c r="G185" s="140">
        <v>39308.0</v>
      </c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30"/>
      <c r="T185" s="30"/>
      <c r="U185" s="30"/>
      <c r="V185" s="30"/>
      <c r="W185" s="30"/>
      <c r="X185" s="30"/>
      <c r="Y185" s="30"/>
      <c r="Z185" s="30"/>
    </row>
    <row r="186" ht="38.25" customHeight="1">
      <c r="A186" s="135" t="s">
        <v>2594</v>
      </c>
      <c r="B186" s="136" t="s">
        <v>2595</v>
      </c>
      <c r="C186" s="137" t="s">
        <v>52</v>
      </c>
      <c r="D186" s="137" t="s">
        <v>519</v>
      </c>
      <c r="E186" s="137" t="s">
        <v>520</v>
      </c>
      <c r="F186" s="137" t="s">
        <v>473</v>
      </c>
      <c r="G186" s="138">
        <v>39416.0</v>
      </c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30"/>
      <c r="T186" s="30"/>
      <c r="U186" s="30"/>
      <c r="V186" s="30"/>
      <c r="W186" s="30"/>
      <c r="X186" s="30"/>
      <c r="Y186" s="30"/>
      <c r="Z186" s="30"/>
    </row>
    <row r="187" ht="42.75" customHeight="1">
      <c r="A187" s="139" t="s">
        <v>2596</v>
      </c>
      <c r="B187" s="119" t="s">
        <v>2597</v>
      </c>
      <c r="C187" s="38" t="s">
        <v>386</v>
      </c>
      <c r="D187" s="38" t="s">
        <v>521</v>
      </c>
      <c r="E187" s="38" t="s">
        <v>522</v>
      </c>
      <c r="F187" s="38" t="s">
        <v>73</v>
      </c>
      <c r="G187" s="140">
        <v>39281.0</v>
      </c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30"/>
      <c r="T187" s="30"/>
      <c r="U187" s="30"/>
      <c r="V187" s="30"/>
      <c r="W187" s="30"/>
      <c r="X187" s="30"/>
      <c r="Y187" s="30"/>
      <c r="Z187" s="30"/>
    </row>
    <row r="188" ht="42.75" customHeight="1">
      <c r="A188" s="135" t="s">
        <v>2598</v>
      </c>
      <c r="B188" s="136" t="s">
        <v>2599</v>
      </c>
      <c r="C188" s="137" t="s">
        <v>33</v>
      </c>
      <c r="D188" s="137" t="s">
        <v>523</v>
      </c>
      <c r="E188" s="137" t="s">
        <v>524</v>
      </c>
      <c r="F188" s="137" t="s">
        <v>36</v>
      </c>
      <c r="G188" s="138">
        <v>39316.0</v>
      </c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30"/>
      <c r="T188" s="30"/>
      <c r="U188" s="30"/>
      <c r="V188" s="30"/>
      <c r="W188" s="30"/>
      <c r="X188" s="30"/>
      <c r="Y188" s="30"/>
      <c r="Z188" s="30"/>
    </row>
    <row r="189" ht="63.75" customHeight="1">
      <c r="A189" s="139" t="s">
        <v>2600</v>
      </c>
      <c r="B189" s="119" t="s">
        <v>2601</v>
      </c>
      <c r="C189" s="38" t="s">
        <v>111</v>
      </c>
      <c r="D189" s="38" t="s">
        <v>525</v>
      </c>
      <c r="E189" s="38" t="s">
        <v>526</v>
      </c>
      <c r="F189" s="38" t="s">
        <v>527</v>
      </c>
      <c r="G189" s="140">
        <v>39273.0</v>
      </c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30"/>
      <c r="T189" s="30"/>
      <c r="U189" s="30"/>
      <c r="V189" s="30"/>
      <c r="W189" s="30"/>
      <c r="X189" s="30"/>
      <c r="Y189" s="30"/>
      <c r="Z189" s="30"/>
    </row>
    <row r="190" ht="63.75" customHeight="1">
      <c r="A190" s="135" t="s">
        <v>2602</v>
      </c>
      <c r="B190" s="136" t="s">
        <v>2603</v>
      </c>
      <c r="C190" s="137" t="s">
        <v>56</v>
      </c>
      <c r="D190" s="137" t="s">
        <v>528</v>
      </c>
      <c r="E190" s="137" t="s">
        <v>529</v>
      </c>
      <c r="F190" s="137" t="s">
        <v>205</v>
      </c>
      <c r="G190" s="138">
        <v>39129.0</v>
      </c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30"/>
      <c r="T190" s="30"/>
      <c r="U190" s="30"/>
      <c r="V190" s="30"/>
      <c r="W190" s="30"/>
      <c r="X190" s="30"/>
      <c r="Y190" s="30"/>
      <c r="Z190" s="30"/>
    </row>
    <row r="191" ht="63.75" customHeight="1">
      <c r="A191" s="177" t="s">
        <v>2604</v>
      </c>
      <c r="B191" s="171" t="s">
        <v>2605</v>
      </c>
      <c r="C191" s="172" t="s">
        <v>33</v>
      </c>
      <c r="D191" s="172" t="s">
        <v>530</v>
      </c>
      <c r="E191" s="172" t="s">
        <v>531</v>
      </c>
      <c r="F191" s="172" t="s">
        <v>36</v>
      </c>
      <c r="G191" s="178">
        <v>39135.0</v>
      </c>
      <c r="H191" s="179" t="s">
        <v>2606</v>
      </c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51.0" customHeight="1">
      <c r="A192" s="135" t="s">
        <v>2607</v>
      </c>
      <c r="B192" s="136" t="s">
        <v>2608</v>
      </c>
      <c r="C192" s="137" t="s">
        <v>33</v>
      </c>
      <c r="D192" s="137" t="s">
        <v>532</v>
      </c>
      <c r="E192" s="137" t="s">
        <v>533</v>
      </c>
      <c r="F192" s="137" t="s">
        <v>68</v>
      </c>
      <c r="G192" s="138">
        <v>39703.0</v>
      </c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30"/>
      <c r="T192" s="30"/>
      <c r="U192" s="30"/>
      <c r="V192" s="30"/>
      <c r="W192" s="30"/>
      <c r="X192" s="30"/>
      <c r="Y192" s="30"/>
      <c r="Z192" s="30"/>
    </row>
    <row r="193" ht="42.75" customHeight="1">
      <c r="A193" s="139" t="s">
        <v>2609</v>
      </c>
      <c r="B193" s="119" t="s">
        <v>2610</v>
      </c>
      <c r="C193" s="38" t="s">
        <v>47</v>
      </c>
      <c r="D193" s="38" t="s">
        <v>534</v>
      </c>
      <c r="E193" s="38" t="s">
        <v>535</v>
      </c>
      <c r="F193" s="38" t="s">
        <v>73</v>
      </c>
      <c r="G193" s="140">
        <v>39437.0</v>
      </c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30"/>
      <c r="T193" s="30"/>
      <c r="U193" s="30"/>
      <c r="V193" s="30"/>
      <c r="W193" s="30"/>
      <c r="X193" s="30"/>
      <c r="Y193" s="30"/>
      <c r="Z193" s="30"/>
    </row>
    <row r="194" ht="42.75" customHeight="1">
      <c r="A194" s="135" t="s">
        <v>2611</v>
      </c>
      <c r="B194" s="136" t="s">
        <v>2612</v>
      </c>
      <c r="C194" s="137" t="s">
        <v>301</v>
      </c>
      <c r="D194" s="137" t="s">
        <v>536</v>
      </c>
      <c r="E194" s="137" t="s">
        <v>537</v>
      </c>
      <c r="F194" s="137" t="s">
        <v>371</v>
      </c>
      <c r="G194" s="138">
        <v>39297.0</v>
      </c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30"/>
      <c r="T194" s="30"/>
      <c r="U194" s="30"/>
      <c r="V194" s="30"/>
      <c r="W194" s="30"/>
      <c r="X194" s="30"/>
      <c r="Y194" s="30"/>
      <c r="Z194" s="30"/>
    </row>
    <row r="195" ht="42.75" customHeight="1">
      <c r="A195" s="139" t="s">
        <v>2613</v>
      </c>
      <c r="B195" s="119" t="s">
        <v>2614</v>
      </c>
      <c r="C195" s="38" t="s">
        <v>61</v>
      </c>
      <c r="D195" s="38" t="s">
        <v>538</v>
      </c>
      <c r="E195" s="38" t="s">
        <v>539</v>
      </c>
      <c r="F195" s="38" t="s">
        <v>540</v>
      </c>
      <c r="G195" s="140">
        <v>39431.0</v>
      </c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30"/>
      <c r="T195" s="30"/>
      <c r="U195" s="30"/>
      <c r="V195" s="30"/>
      <c r="W195" s="30"/>
      <c r="X195" s="30"/>
      <c r="Y195" s="30"/>
      <c r="Z195" s="30"/>
    </row>
    <row r="196" ht="38.25" customHeight="1">
      <c r="A196" s="135" t="s">
        <v>2615</v>
      </c>
      <c r="B196" s="136" t="s">
        <v>2616</v>
      </c>
      <c r="C196" s="137" t="s">
        <v>311</v>
      </c>
      <c r="D196" s="137" t="s">
        <v>541</v>
      </c>
      <c r="E196" s="137" t="s">
        <v>542</v>
      </c>
      <c r="F196" s="137" t="s">
        <v>88</v>
      </c>
      <c r="G196" s="138">
        <v>39436.0</v>
      </c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30"/>
      <c r="T196" s="30"/>
      <c r="U196" s="30"/>
      <c r="V196" s="30"/>
      <c r="W196" s="30"/>
      <c r="X196" s="30"/>
      <c r="Y196" s="30"/>
      <c r="Z196" s="30"/>
    </row>
    <row r="197" ht="42.75" customHeight="1">
      <c r="A197" s="139" t="s">
        <v>2617</v>
      </c>
      <c r="B197" s="119" t="s">
        <v>2618</v>
      </c>
      <c r="C197" s="38" t="s">
        <v>543</v>
      </c>
      <c r="D197" s="38" t="s">
        <v>544</v>
      </c>
      <c r="E197" s="38" t="s">
        <v>545</v>
      </c>
      <c r="F197" s="38" t="s">
        <v>356</v>
      </c>
      <c r="G197" s="140">
        <v>39147.0</v>
      </c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30"/>
      <c r="U197" s="30"/>
      <c r="V197" s="30"/>
      <c r="W197" s="30"/>
      <c r="X197" s="30"/>
      <c r="Y197" s="30"/>
      <c r="Z197" s="30"/>
    </row>
    <row r="198" ht="38.25" customHeight="1">
      <c r="A198" s="135" t="s">
        <v>2619</v>
      </c>
      <c r="B198" s="136" t="s">
        <v>2620</v>
      </c>
      <c r="C198" s="137" t="s">
        <v>13</v>
      </c>
      <c r="D198" s="137" t="s">
        <v>546</v>
      </c>
      <c r="E198" s="137" t="s">
        <v>547</v>
      </c>
      <c r="F198" s="137" t="s">
        <v>88</v>
      </c>
      <c r="G198" s="138">
        <v>39468.0</v>
      </c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30"/>
      <c r="U198" s="30"/>
      <c r="V198" s="30"/>
      <c r="W198" s="30"/>
      <c r="X198" s="30"/>
      <c r="Y198" s="30"/>
      <c r="Z198" s="30"/>
    </row>
    <row r="199" ht="42.75" customHeight="1">
      <c r="A199" s="180" t="s">
        <v>2621</v>
      </c>
      <c r="B199" s="171" t="s">
        <v>2622</v>
      </c>
      <c r="C199" s="172" t="s">
        <v>56</v>
      </c>
      <c r="D199" s="172"/>
      <c r="E199" s="172" t="s">
        <v>548</v>
      </c>
      <c r="F199" s="172" t="s">
        <v>21</v>
      </c>
      <c r="G199" s="178">
        <v>39296.0</v>
      </c>
      <c r="H199" s="174" t="s">
        <v>2623</v>
      </c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51.0" customHeight="1">
      <c r="A200" s="135" t="s">
        <v>2624</v>
      </c>
      <c r="B200" s="136" t="s">
        <v>2625</v>
      </c>
      <c r="C200" s="137" t="s">
        <v>61</v>
      </c>
      <c r="D200" s="137" t="s">
        <v>549</v>
      </c>
      <c r="E200" s="137" t="s">
        <v>550</v>
      </c>
      <c r="F200" s="137" t="s">
        <v>114</v>
      </c>
      <c r="G200" s="138">
        <v>39416.0</v>
      </c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30"/>
      <c r="U200" s="30"/>
      <c r="V200" s="30"/>
      <c r="W200" s="30"/>
      <c r="X200" s="30"/>
      <c r="Y200" s="30"/>
      <c r="Z200" s="30"/>
    </row>
    <row r="201" ht="64.5" customHeight="1">
      <c r="A201" s="139" t="s">
        <v>2626</v>
      </c>
      <c r="B201" s="119" t="s">
        <v>2627</v>
      </c>
      <c r="C201" s="38" t="s">
        <v>23</v>
      </c>
      <c r="D201" s="38" t="s">
        <v>551</v>
      </c>
      <c r="E201" s="38" t="s">
        <v>552</v>
      </c>
      <c r="F201" s="38" t="s">
        <v>184</v>
      </c>
      <c r="G201" s="140">
        <v>39416.0</v>
      </c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30"/>
      <c r="U201" s="30"/>
      <c r="V201" s="30"/>
      <c r="W201" s="30"/>
      <c r="X201" s="30"/>
      <c r="Y201" s="30"/>
      <c r="Z201" s="30"/>
    </row>
    <row r="202" ht="53.25" customHeight="1">
      <c r="A202" s="135" t="s">
        <v>2628</v>
      </c>
      <c r="B202" s="136" t="s">
        <v>2629</v>
      </c>
      <c r="C202" s="137" t="s">
        <v>33</v>
      </c>
      <c r="D202" s="137" t="s">
        <v>553</v>
      </c>
      <c r="E202" s="137" t="s">
        <v>554</v>
      </c>
      <c r="F202" s="137" t="s">
        <v>36</v>
      </c>
      <c r="G202" s="138">
        <v>39309.0</v>
      </c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30"/>
      <c r="U202" s="30"/>
      <c r="V202" s="30"/>
      <c r="W202" s="30"/>
      <c r="X202" s="30"/>
      <c r="Y202" s="30"/>
      <c r="Z202" s="30"/>
    </row>
    <row r="203" ht="42.75" customHeight="1">
      <c r="A203" s="139" t="s">
        <v>2630</v>
      </c>
      <c r="B203" s="119" t="s">
        <v>2631</v>
      </c>
      <c r="C203" s="38" t="s">
        <v>410</v>
      </c>
      <c r="D203" s="38" t="s">
        <v>555</v>
      </c>
      <c r="E203" s="38" t="s">
        <v>556</v>
      </c>
      <c r="F203" s="38" t="s">
        <v>16</v>
      </c>
      <c r="G203" s="140">
        <v>39150.0</v>
      </c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30"/>
      <c r="U203" s="30"/>
      <c r="V203" s="30"/>
      <c r="W203" s="30"/>
      <c r="X203" s="30"/>
      <c r="Y203" s="30"/>
      <c r="Z203" s="30"/>
    </row>
    <row r="204" ht="51.0" customHeight="1">
      <c r="A204" s="135" t="s">
        <v>2632</v>
      </c>
      <c r="B204" s="136" t="s">
        <v>2633</v>
      </c>
      <c r="C204" s="137" t="s">
        <v>167</v>
      </c>
      <c r="D204" s="137" t="s">
        <v>557</v>
      </c>
      <c r="E204" s="137" t="s">
        <v>558</v>
      </c>
      <c r="F204" s="137" t="s">
        <v>105</v>
      </c>
      <c r="G204" s="138">
        <v>39464.0</v>
      </c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30"/>
      <c r="T204" s="30"/>
      <c r="U204" s="30"/>
      <c r="V204" s="30"/>
      <c r="W204" s="30"/>
      <c r="X204" s="30"/>
      <c r="Y204" s="30"/>
      <c r="Z204" s="30"/>
    </row>
    <row r="205" ht="42.75" customHeight="1">
      <c r="A205" s="139" t="s">
        <v>2634</v>
      </c>
      <c r="B205" s="119" t="s">
        <v>2635</v>
      </c>
      <c r="C205" s="38" t="s">
        <v>116</v>
      </c>
      <c r="D205" s="38" t="s">
        <v>559</v>
      </c>
      <c r="E205" s="38" t="s">
        <v>560</v>
      </c>
      <c r="F205" s="38" t="s">
        <v>180</v>
      </c>
      <c r="G205" s="140">
        <v>39416.0</v>
      </c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30"/>
      <c r="T205" s="30"/>
      <c r="U205" s="30"/>
      <c r="V205" s="30"/>
      <c r="W205" s="30"/>
      <c r="X205" s="30"/>
      <c r="Y205" s="30"/>
      <c r="Z205" s="30"/>
    </row>
    <row r="206" ht="42.75" customHeight="1">
      <c r="A206" s="135" t="s">
        <v>2636</v>
      </c>
      <c r="B206" s="136" t="s">
        <v>2637</v>
      </c>
      <c r="C206" s="137" t="s">
        <v>52</v>
      </c>
      <c r="D206" s="137" t="s">
        <v>561</v>
      </c>
      <c r="E206" s="137" t="s">
        <v>562</v>
      </c>
      <c r="F206" s="137" t="s">
        <v>473</v>
      </c>
      <c r="G206" s="138">
        <v>39164.0</v>
      </c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30"/>
      <c r="T206" s="30"/>
      <c r="U206" s="30"/>
      <c r="V206" s="30"/>
      <c r="W206" s="30"/>
      <c r="X206" s="30"/>
      <c r="Y206" s="30"/>
      <c r="Z206" s="30"/>
    </row>
    <row r="207" ht="42.75" customHeight="1">
      <c r="A207" s="170" t="s">
        <v>2638</v>
      </c>
      <c r="B207" s="171" t="s">
        <v>2639</v>
      </c>
      <c r="C207" s="172" t="s">
        <v>52</v>
      </c>
      <c r="D207" s="172" t="s">
        <v>563</v>
      </c>
      <c r="E207" s="172" t="s">
        <v>564</v>
      </c>
      <c r="F207" s="172" t="s">
        <v>147</v>
      </c>
      <c r="G207" s="178">
        <v>39112.0</v>
      </c>
      <c r="H207" s="174" t="s">
        <v>2623</v>
      </c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30"/>
      <c r="T207" s="30"/>
      <c r="U207" s="30"/>
      <c r="V207" s="30"/>
      <c r="W207" s="30"/>
      <c r="X207" s="30"/>
      <c r="Y207" s="30"/>
      <c r="Z207" s="30"/>
    </row>
    <row r="208" ht="28.5" customHeight="1">
      <c r="A208" s="135" t="s">
        <v>2640</v>
      </c>
      <c r="B208" s="136" t="s">
        <v>2641</v>
      </c>
      <c r="C208" s="137" t="s">
        <v>23</v>
      </c>
      <c r="D208" s="137" t="s">
        <v>565</v>
      </c>
      <c r="E208" s="137" t="s">
        <v>566</v>
      </c>
      <c r="F208" s="137" t="s">
        <v>105</v>
      </c>
      <c r="G208" s="138">
        <v>39464.0</v>
      </c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30"/>
      <c r="T208" s="30"/>
      <c r="U208" s="30"/>
      <c r="V208" s="30"/>
      <c r="W208" s="30"/>
      <c r="X208" s="30"/>
      <c r="Y208" s="30"/>
      <c r="Z208" s="30"/>
    </row>
    <row r="209" ht="51.0" customHeight="1">
      <c r="A209" s="139" t="s">
        <v>2642</v>
      </c>
      <c r="B209" s="119" t="s">
        <v>2643</v>
      </c>
      <c r="C209" s="38" t="s">
        <v>33</v>
      </c>
      <c r="D209" s="38" t="s">
        <v>567</v>
      </c>
      <c r="E209" s="38" t="s">
        <v>568</v>
      </c>
      <c r="F209" s="38" t="s">
        <v>36</v>
      </c>
      <c r="G209" s="140">
        <v>39140.0</v>
      </c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30"/>
      <c r="T209" s="30"/>
      <c r="U209" s="30"/>
      <c r="V209" s="30"/>
      <c r="W209" s="30"/>
      <c r="X209" s="30"/>
      <c r="Y209" s="30"/>
      <c r="Z209" s="30"/>
    </row>
    <row r="210" ht="42.75" customHeight="1">
      <c r="A210" s="135" t="s">
        <v>2644</v>
      </c>
      <c r="B210" s="136" t="s">
        <v>2645</v>
      </c>
      <c r="C210" s="137" t="s">
        <v>23</v>
      </c>
      <c r="D210" s="137" t="s">
        <v>569</v>
      </c>
      <c r="E210" s="137" t="s">
        <v>570</v>
      </c>
      <c r="F210" s="137" t="s">
        <v>399</v>
      </c>
      <c r="G210" s="138">
        <v>39315.0</v>
      </c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30"/>
      <c r="T210" s="30"/>
      <c r="U210" s="30"/>
      <c r="V210" s="30"/>
      <c r="W210" s="30"/>
      <c r="X210" s="30"/>
      <c r="Y210" s="30"/>
      <c r="Z210" s="30"/>
    </row>
    <row r="211" ht="38.25" customHeight="1">
      <c r="A211" s="177" t="s">
        <v>2646</v>
      </c>
      <c r="B211" s="171" t="s">
        <v>2647</v>
      </c>
      <c r="C211" s="172"/>
      <c r="D211" s="172"/>
      <c r="E211" s="172" t="s">
        <v>571</v>
      </c>
      <c r="F211" s="172" t="s">
        <v>572</v>
      </c>
      <c r="G211" s="181">
        <v>2007.0</v>
      </c>
      <c r="H211" s="179" t="s">
        <v>2648</v>
      </c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51.0" customHeight="1">
      <c r="A212" s="135" t="s">
        <v>2649</v>
      </c>
      <c r="B212" s="136" t="s">
        <v>2650</v>
      </c>
      <c r="C212" s="137" t="s">
        <v>573</v>
      </c>
      <c r="D212" s="137" t="s">
        <v>574</v>
      </c>
      <c r="E212" s="137" t="s">
        <v>575</v>
      </c>
      <c r="F212" s="137" t="s">
        <v>576</v>
      </c>
      <c r="G212" s="182">
        <v>2007.0</v>
      </c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30"/>
      <c r="T212" s="30"/>
      <c r="U212" s="30"/>
      <c r="V212" s="30"/>
      <c r="W212" s="30"/>
      <c r="X212" s="30"/>
      <c r="Y212" s="30"/>
      <c r="Z212" s="30"/>
    </row>
    <row r="213" ht="42.75" customHeight="1">
      <c r="A213" s="177"/>
      <c r="B213" s="171" t="s">
        <v>2651</v>
      </c>
      <c r="C213" s="172" t="s">
        <v>1005</v>
      </c>
      <c r="D213" s="172"/>
      <c r="E213" s="172" t="s">
        <v>2652</v>
      </c>
      <c r="F213" s="172" t="s">
        <v>576</v>
      </c>
      <c r="G213" s="181">
        <v>2007.0</v>
      </c>
      <c r="H213" s="174" t="s">
        <v>2653</v>
      </c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39.0" customHeight="1">
      <c r="A214" s="183"/>
      <c r="B214" s="184" t="s">
        <v>2654</v>
      </c>
      <c r="C214" s="185"/>
      <c r="D214" s="184"/>
      <c r="E214" s="185" t="s">
        <v>2655</v>
      </c>
      <c r="F214" s="185" t="s">
        <v>180</v>
      </c>
      <c r="G214" s="186">
        <v>2007.0</v>
      </c>
      <c r="H214" s="174" t="s">
        <v>2391</v>
      </c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57.0" customHeight="1">
      <c r="A215" s="131" t="s">
        <v>2656</v>
      </c>
      <c r="B215" s="132" t="s">
        <v>2657</v>
      </c>
      <c r="C215" s="133" t="s">
        <v>23</v>
      </c>
      <c r="D215" s="133" t="s">
        <v>577</v>
      </c>
      <c r="E215" s="133" t="s">
        <v>578</v>
      </c>
      <c r="F215" s="133" t="s">
        <v>184</v>
      </c>
      <c r="G215" s="134">
        <v>39877.0</v>
      </c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30"/>
      <c r="T215" s="30"/>
      <c r="U215" s="30"/>
      <c r="V215" s="30"/>
      <c r="W215" s="30"/>
      <c r="X215" s="30"/>
      <c r="Y215" s="30"/>
      <c r="Z215" s="30"/>
    </row>
    <row r="216" ht="42.75" customHeight="1">
      <c r="A216" s="135" t="s">
        <v>2658</v>
      </c>
      <c r="B216" s="136" t="s">
        <v>2659</v>
      </c>
      <c r="C216" s="137" t="s">
        <v>159</v>
      </c>
      <c r="D216" s="137" t="s">
        <v>579</v>
      </c>
      <c r="E216" s="137" t="s">
        <v>580</v>
      </c>
      <c r="F216" s="137" t="s">
        <v>473</v>
      </c>
      <c r="G216" s="138">
        <v>39703.0</v>
      </c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30"/>
      <c r="T216" s="30"/>
      <c r="U216" s="30"/>
      <c r="V216" s="30"/>
      <c r="W216" s="30"/>
      <c r="X216" s="30"/>
      <c r="Y216" s="30"/>
      <c r="Z216" s="30"/>
    </row>
    <row r="217" ht="38.25" customHeight="1">
      <c r="A217" s="139" t="s">
        <v>2660</v>
      </c>
      <c r="B217" s="119" t="s">
        <v>2661</v>
      </c>
      <c r="C217" s="38" t="s">
        <v>311</v>
      </c>
      <c r="D217" s="38" t="s">
        <v>581</v>
      </c>
      <c r="E217" s="38" t="s">
        <v>582</v>
      </c>
      <c r="F217" s="38" t="s">
        <v>162</v>
      </c>
      <c r="G217" s="140">
        <v>39687.0</v>
      </c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30"/>
      <c r="T217" s="30"/>
      <c r="U217" s="30"/>
      <c r="V217" s="30"/>
      <c r="W217" s="30"/>
      <c r="X217" s="30"/>
      <c r="Y217" s="30"/>
      <c r="Z217" s="30"/>
    </row>
    <row r="218" ht="42.75" customHeight="1">
      <c r="A218" s="135" t="s">
        <v>2662</v>
      </c>
      <c r="B218" s="136" t="s">
        <v>2663</v>
      </c>
      <c r="C218" s="137" t="s">
        <v>583</v>
      </c>
      <c r="D218" s="137" t="s">
        <v>2664</v>
      </c>
      <c r="E218" s="137" t="s">
        <v>585</v>
      </c>
      <c r="F218" s="137" t="s">
        <v>180</v>
      </c>
      <c r="G218" s="138">
        <v>39782.0</v>
      </c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30"/>
      <c r="T218" s="30"/>
      <c r="U218" s="30"/>
      <c r="V218" s="30"/>
      <c r="W218" s="30"/>
      <c r="X218" s="30"/>
      <c r="Y218" s="30"/>
      <c r="Z218" s="30"/>
    </row>
    <row r="219" ht="38.25" customHeight="1">
      <c r="A219" s="139" t="s">
        <v>2665</v>
      </c>
      <c r="B219" s="119" t="s">
        <v>2666</v>
      </c>
      <c r="C219" s="38" t="s">
        <v>33</v>
      </c>
      <c r="D219" s="38" t="s">
        <v>586</v>
      </c>
      <c r="E219" s="38" t="s">
        <v>587</v>
      </c>
      <c r="F219" s="38" t="s">
        <v>64</v>
      </c>
      <c r="G219" s="140">
        <v>39791.0</v>
      </c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30"/>
      <c r="T219" s="30"/>
      <c r="U219" s="30"/>
      <c r="V219" s="30"/>
      <c r="W219" s="30"/>
      <c r="X219" s="30"/>
      <c r="Y219" s="30"/>
      <c r="Z219" s="30"/>
    </row>
    <row r="220" ht="42.75" customHeight="1">
      <c r="A220" s="135" t="s">
        <v>2667</v>
      </c>
      <c r="B220" s="136" t="s">
        <v>2668</v>
      </c>
      <c r="C220" s="137" t="s">
        <v>252</v>
      </c>
      <c r="D220" s="137" t="s">
        <v>2669</v>
      </c>
      <c r="E220" s="137" t="s">
        <v>589</v>
      </c>
      <c r="F220" s="137" t="s">
        <v>572</v>
      </c>
      <c r="G220" s="138">
        <v>39689.0</v>
      </c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30"/>
      <c r="T220" s="30"/>
      <c r="U220" s="30"/>
      <c r="V220" s="30"/>
      <c r="W220" s="30"/>
      <c r="X220" s="30"/>
      <c r="Y220" s="30"/>
      <c r="Z220" s="30"/>
    </row>
    <row r="221" ht="42.75" customHeight="1">
      <c r="A221" s="139" t="s">
        <v>2670</v>
      </c>
      <c r="B221" s="119" t="s">
        <v>2671</v>
      </c>
      <c r="C221" s="38" t="s">
        <v>116</v>
      </c>
      <c r="D221" s="38" t="s">
        <v>590</v>
      </c>
      <c r="E221" s="38" t="s">
        <v>591</v>
      </c>
      <c r="F221" s="38" t="s">
        <v>399</v>
      </c>
      <c r="G221" s="140">
        <v>39489.0</v>
      </c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30"/>
      <c r="T221" s="30"/>
      <c r="U221" s="30"/>
      <c r="V221" s="30"/>
      <c r="W221" s="30"/>
      <c r="X221" s="30"/>
      <c r="Y221" s="30"/>
      <c r="Z221" s="30"/>
    </row>
    <row r="222" ht="42.75" customHeight="1">
      <c r="A222" s="177" t="s">
        <v>2672</v>
      </c>
      <c r="B222" s="171" t="s">
        <v>2673</v>
      </c>
      <c r="C222" s="172" t="s">
        <v>23</v>
      </c>
      <c r="D222" s="172" t="s">
        <v>592</v>
      </c>
      <c r="E222" s="172" t="s">
        <v>593</v>
      </c>
      <c r="F222" s="172" t="s">
        <v>594</v>
      </c>
      <c r="G222" s="178">
        <v>39629.0</v>
      </c>
      <c r="H222" s="187" t="s">
        <v>2674</v>
      </c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30"/>
      <c r="T222" s="30"/>
      <c r="U222" s="30"/>
      <c r="V222" s="30"/>
      <c r="W222" s="30"/>
      <c r="X222" s="30"/>
      <c r="Y222" s="30"/>
      <c r="Z222" s="30"/>
    </row>
    <row r="223" ht="42.75" customHeight="1">
      <c r="A223" s="139" t="s">
        <v>2675</v>
      </c>
      <c r="B223" s="119" t="s">
        <v>2676</v>
      </c>
      <c r="C223" s="38" t="s">
        <v>43</v>
      </c>
      <c r="D223" s="38" t="s">
        <v>595</v>
      </c>
      <c r="E223" s="38" t="s">
        <v>596</v>
      </c>
      <c r="F223" s="38" t="s">
        <v>180</v>
      </c>
      <c r="G223" s="140">
        <v>39696.0</v>
      </c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30"/>
      <c r="T223" s="30"/>
      <c r="U223" s="30"/>
      <c r="V223" s="30"/>
      <c r="W223" s="30"/>
      <c r="X223" s="30"/>
      <c r="Y223" s="30"/>
      <c r="Z223" s="30"/>
    </row>
    <row r="224" ht="51.0" customHeight="1">
      <c r="A224" s="135" t="s">
        <v>2677</v>
      </c>
      <c r="B224" s="136" t="s">
        <v>2678</v>
      </c>
      <c r="C224" s="137" t="s">
        <v>111</v>
      </c>
      <c r="D224" s="137" t="s">
        <v>597</v>
      </c>
      <c r="E224" s="137" t="s">
        <v>598</v>
      </c>
      <c r="F224" s="137" t="s">
        <v>356</v>
      </c>
      <c r="G224" s="138">
        <v>39696.0</v>
      </c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30"/>
      <c r="T224" s="30"/>
      <c r="U224" s="30"/>
      <c r="V224" s="30"/>
      <c r="W224" s="30"/>
      <c r="X224" s="30"/>
      <c r="Y224" s="30"/>
      <c r="Z224" s="30"/>
    </row>
    <row r="225" ht="42.75" customHeight="1">
      <c r="A225" s="139" t="s">
        <v>2679</v>
      </c>
      <c r="B225" s="119" t="s">
        <v>2680</v>
      </c>
      <c r="C225" s="38" t="s">
        <v>96</v>
      </c>
      <c r="D225" s="38" t="s">
        <v>599</v>
      </c>
      <c r="E225" s="38" t="s">
        <v>600</v>
      </c>
      <c r="F225" s="38" t="s">
        <v>147</v>
      </c>
      <c r="G225" s="140">
        <v>39667.0</v>
      </c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30"/>
      <c r="T225" s="30"/>
      <c r="U225" s="30"/>
      <c r="V225" s="30"/>
      <c r="W225" s="30"/>
      <c r="X225" s="30"/>
      <c r="Y225" s="30"/>
      <c r="Z225" s="30"/>
    </row>
    <row r="226" ht="63.75" customHeight="1">
      <c r="A226" s="135" t="s">
        <v>2681</v>
      </c>
      <c r="B226" s="136" t="s">
        <v>2682</v>
      </c>
      <c r="C226" s="137" t="s">
        <v>252</v>
      </c>
      <c r="D226" s="137" t="s">
        <v>601</v>
      </c>
      <c r="E226" s="137" t="s">
        <v>602</v>
      </c>
      <c r="F226" s="137" t="s">
        <v>170</v>
      </c>
      <c r="G226" s="138">
        <v>39682.0</v>
      </c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30"/>
      <c r="T226" s="30"/>
      <c r="U226" s="30"/>
      <c r="V226" s="30"/>
      <c r="W226" s="30"/>
      <c r="X226" s="30"/>
      <c r="Y226" s="30"/>
      <c r="Z226" s="30"/>
    </row>
    <row r="227" ht="63.75" customHeight="1">
      <c r="A227" s="139" t="s">
        <v>2683</v>
      </c>
      <c r="B227" s="119" t="s">
        <v>2684</v>
      </c>
      <c r="C227" s="38" t="s">
        <v>23</v>
      </c>
      <c r="D227" s="38" t="s">
        <v>603</v>
      </c>
      <c r="E227" s="38" t="s">
        <v>604</v>
      </c>
      <c r="F227" s="38" t="s">
        <v>540</v>
      </c>
      <c r="G227" s="140">
        <v>39692.0</v>
      </c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30"/>
      <c r="T227" s="30"/>
      <c r="U227" s="30"/>
      <c r="V227" s="30"/>
      <c r="W227" s="30"/>
      <c r="X227" s="30"/>
      <c r="Y227" s="30"/>
      <c r="Z227" s="30"/>
    </row>
    <row r="228" ht="51.0" customHeight="1">
      <c r="A228" s="135" t="s">
        <v>2685</v>
      </c>
      <c r="B228" s="136" t="s">
        <v>2686</v>
      </c>
      <c r="C228" s="137" t="s">
        <v>252</v>
      </c>
      <c r="D228" s="137" t="s">
        <v>605</v>
      </c>
      <c r="E228" s="137" t="s">
        <v>606</v>
      </c>
      <c r="F228" s="137" t="s">
        <v>170</v>
      </c>
      <c r="G228" s="138">
        <v>39782.0</v>
      </c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30"/>
      <c r="T228" s="30"/>
      <c r="U228" s="30"/>
      <c r="V228" s="30"/>
      <c r="W228" s="30"/>
      <c r="X228" s="30"/>
      <c r="Y228" s="30"/>
      <c r="Z228" s="30"/>
    </row>
    <row r="229" ht="42.75" customHeight="1">
      <c r="A229" s="139" t="s">
        <v>2687</v>
      </c>
      <c r="B229" s="119" t="s">
        <v>2688</v>
      </c>
      <c r="C229" s="38" t="s">
        <v>159</v>
      </c>
      <c r="D229" s="38" t="s">
        <v>607</v>
      </c>
      <c r="E229" s="38" t="s">
        <v>608</v>
      </c>
      <c r="F229" s="38" t="s">
        <v>162</v>
      </c>
      <c r="G229" s="140">
        <v>39679.0</v>
      </c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30"/>
      <c r="T229" s="30"/>
      <c r="U229" s="30"/>
      <c r="V229" s="30"/>
      <c r="W229" s="30"/>
      <c r="X229" s="30"/>
      <c r="Y229" s="30"/>
      <c r="Z229" s="30"/>
    </row>
    <row r="230" ht="38.25" customHeight="1">
      <c r="A230" s="135" t="s">
        <v>2689</v>
      </c>
      <c r="B230" s="136" t="s">
        <v>2690</v>
      </c>
      <c r="C230" s="137" t="s">
        <v>33</v>
      </c>
      <c r="D230" s="137" t="s">
        <v>609</v>
      </c>
      <c r="E230" s="137" t="s">
        <v>610</v>
      </c>
      <c r="F230" s="137" t="s">
        <v>356</v>
      </c>
      <c r="G230" s="138">
        <v>39696.0</v>
      </c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30"/>
      <c r="T230" s="30"/>
      <c r="U230" s="30"/>
      <c r="V230" s="30"/>
      <c r="W230" s="30"/>
      <c r="X230" s="30"/>
      <c r="Y230" s="30"/>
      <c r="Z230" s="30"/>
    </row>
    <row r="231" ht="42.75" customHeight="1">
      <c r="A231" s="139" t="s">
        <v>2691</v>
      </c>
      <c r="B231" s="119" t="s">
        <v>2692</v>
      </c>
      <c r="C231" s="38" t="s">
        <v>111</v>
      </c>
      <c r="D231" s="38" t="s">
        <v>611</v>
      </c>
      <c r="E231" s="38" t="s">
        <v>612</v>
      </c>
      <c r="F231" s="38" t="s">
        <v>613</v>
      </c>
      <c r="G231" s="140">
        <v>39468.0</v>
      </c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30"/>
      <c r="T231" s="30"/>
      <c r="U231" s="30"/>
      <c r="V231" s="30"/>
      <c r="W231" s="30"/>
      <c r="X231" s="30"/>
      <c r="Y231" s="30"/>
      <c r="Z231" s="30"/>
    </row>
    <row r="232" ht="38.25" customHeight="1">
      <c r="A232" s="135" t="s">
        <v>2693</v>
      </c>
      <c r="B232" s="136" t="s">
        <v>2694</v>
      </c>
      <c r="C232" s="137" t="s">
        <v>23</v>
      </c>
      <c r="D232" s="137" t="s">
        <v>614</v>
      </c>
      <c r="E232" s="137" t="s">
        <v>615</v>
      </c>
      <c r="F232" s="137" t="s">
        <v>184</v>
      </c>
      <c r="G232" s="138">
        <v>39782.0</v>
      </c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30"/>
      <c r="T232" s="30"/>
      <c r="U232" s="30"/>
      <c r="V232" s="30"/>
      <c r="W232" s="30"/>
      <c r="X232" s="30"/>
      <c r="Y232" s="30"/>
      <c r="Z232" s="30"/>
    </row>
    <row r="233" ht="51.0" customHeight="1">
      <c r="A233" s="139" t="s">
        <v>2695</v>
      </c>
      <c r="B233" s="119" t="s">
        <v>2696</v>
      </c>
      <c r="C233" s="38" t="s">
        <v>33</v>
      </c>
      <c r="D233" s="38" t="s">
        <v>616</v>
      </c>
      <c r="E233" s="38" t="s">
        <v>617</v>
      </c>
      <c r="F233" s="38" t="s">
        <v>36</v>
      </c>
      <c r="G233" s="140">
        <v>39464.0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30"/>
      <c r="T233" s="30"/>
      <c r="U233" s="30"/>
      <c r="V233" s="30"/>
      <c r="W233" s="30"/>
      <c r="X233" s="30"/>
      <c r="Y233" s="30"/>
      <c r="Z233" s="30"/>
    </row>
    <row r="234" ht="76.5" customHeight="1">
      <c r="A234" s="135" t="s">
        <v>2697</v>
      </c>
      <c r="B234" s="136" t="s">
        <v>2698</v>
      </c>
      <c r="C234" s="137" t="s">
        <v>43</v>
      </c>
      <c r="D234" s="137" t="s">
        <v>2699</v>
      </c>
      <c r="E234" s="137" t="s">
        <v>619</v>
      </c>
      <c r="F234" s="137" t="s">
        <v>620</v>
      </c>
      <c r="G234" s="138">
        <v>39512.0</v>
      </c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30"/>
      <c r="T234" s="30"/>
      <c r="U234" s="30"/>
      <c r="V234" s="30"/>
      <c r="W234" s="30"/>
      <c r="X234" s="30"/>
      <c r="Y234" s="30"/>
      <c r="Z234" s="30"/>
    </row>
    <row r="235" ht="51.0" customHeight="1">
      <c r="A235" s="139" t="s">
        <v>2700</v>
      </c>
      <c r="B235" s="119" t="s">
        <v>2701</v>
      </c>
      <c r="C235" s="38" t="s">
        <v>70</v>
      </c>
      <c r="D235" s="38" t="s">
        <v>621</v>
      </c>
      <c r="E235" s="38" t="s">
        <v>622</v>
      </c>
      <c r="F235" s="38" t="s">
        <v>623</v>
      </c>
      <c r="G235" s="140">
        <v>39701.0</v>
      </c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30"/>
      <c r="T235" s="30"/>
      <c r="U235" s="30"/>
      <c r="V235" s="30"/>
      <c r="W235" s="30"/>
      <c r="X235" s="30"/>
      <c r="Y235" s="30"/>
      <c r="Z235" s="30"/>
    </row>
    <row r="236" ht="42.75" customHeight="1">
      <c r="A236" s="135" t="s">
        <v>2702</v>
      </c>
      <c r="B236" s="136" t="s">
        <v>2703</v>
      </c>
      <c r="C236" s="137" t="s">
        <v>252</v>
      </c>
      <c r="D236" s="137" t="s">
        <v>624</v>
      </c>
      <c r="E236" s="137" t="s">
        <v>625</v>
      </c>
      <c r="F236" s="137" t="s">
        <v>170</v>
      </c>
      <c r="G236" s="138">
        <v>39782.0</v>
      </c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30"/>
      <c r="T236" s="30"/>
      <c r="U236" s="30"/>
      <c r="V236" s="30"/>
      <c r="W236" s="30"/>
      <c r="X236" s="30"/>
      <c r="Y236" s="30"/>
      <c r="Z236" s="30"/>
    </row>
    <row r="237" ht="71.25" customHeight="1">
      <c r="A237" s="139" t="s">
        <v>2704</v>
      </c>
      <c r="B237" s="119" t="s">
        <v>2705</v>
      </c>
      <c r="C237" s="38" t="s">
        <v>28</v>
      </c>
      <c r="D237" s="38" t="s">
        <v>626</v>
      </c>
      <c r="E237" s="38" t="s">
        <v>627</v>
      </c>
      <c r="F237" s="38" t="s">
        <v>184</v>
      </c>
      <c r="G237" s="140">
        <v>39839.0</v>
      </c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30"/>
      <c r="T237" s="30"/>
      <c r="U237" s="30"/>
      <c r="V237" s="30"/>
      <c r="W237" s="30"/>
      <c r="X237" s="30"/>
      <c r="Y237" s="30"/>
      <c r="Z237" s="30"/>
    </row>
    <row r="238" ht="38.25" customHeight="1">
      <c r="A238" s="135" t="s">
        <v>2706</v>
      </c>
      <c r="B238" s="136" t="s">
        <v>2707</v>
      </c>
      <c r="C238" s="137" t="s">
        <v>111</v>
      </c>
      <c r="D238" s="137" t="s">
        <v>628</v>
      </c>
      <c r="E238" s="137" t="s">
        <v>629</v>
      </c>
      <c r="F238" s="137" t="s">
        <v>399</v>
      </c>
      <c r="G238" s="138">
        <v>39499.0</v>
      </c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30"/>
      <c r="T238" s="30"/>
      <c r="U238" s="30"/>
      <c r="V238" s="30"/>
      <c r="W238" s="30"/>
      <c r="X238" s="30"/>
      <c r="Y238" s="30"/>
      <c r="Z238" s="30"/>
    </row>
    <row r="239" ht="42.75" customHeight="1">
      <c r="A239" s="139" t="s">
        <v>2708</v>
      </c>
      <c r="B239" s="119" t="s">
        <v>2709</v>
      </c>
      <c r="C239" s="38" t="s">
        <v>13</v>
      </c>
      <c r="D239" s="38" t="s">
        <v>630</v>
      </c>
      <c r="E239" s="38" t="s">
        <v>631</v>
      </c>
      <c r="F239" s="38" t="s">
        <v>147</v>
      </c>
      <c r="G239" s="140">
        <v>39848.0</v>
      </c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30"/>
      <c r="T239" s="30"/>
      <c r="U239" s="30"/>
      <c r="V239" s="30"/>
      <c r="W239" s="30"/>
      <c r="X239" s="30"/>
      <c r="Y239" s="30"/>
      <c r="Z239" s="30"/>
    </row>
    <row r="240" ht="38.25" customHeight="1">
      <c r="A240" s="135" t="s">
        <v>2710</v>
      </c>
      <c r="B240" s="136" t="s">
        <v>2711</v>
      </c>
      <c r="C240" s="137" t="s">
        <v>43</v>
      </c>
      <c r="D240" s="137" t="s">
        <v>632</v>
      </c>
      <c r="E240" s="137" t="s">
        <v>633</v>
      </c>
      <c r="F240" s="137" t="s">
        <v>447</v>
      </c>
      <c r="G240" s="138">
        <v>39696.0</v>
      </c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30"/>
      <c r="T240" s="30"/>
      <c r="U240" s="30"/>
      <c r="V240" s="30"/>
      <c r="W240" s="30"/>
      <c r="X240" s="30"/>
      <c r="Y240" s="30"/>
      <c r="Z240" s="30"/>
    </row>
    <row r="241" ht="57.0" customHeight="1">
      <c r="A241" s="139" t="s">
        <v>2712</v>
      </c>
      <c r="B241" s="119" t="s">
        <v>2713</v>
      </c>
      <c r="C241" s="38" t="s">
        <v>43</v>
      </c>
      <c r="D241" s="38" t="s">
        <v>634</v>
      </c>
      <c r="E241" s="38" t="s">
        <v>635</v>
      </c>
      <c r="F241" s="38" t="s">
        <v>16</v>
      </c>
      <c r="G241" s="140">
        <v>39703.0</v>
      </c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30"/>
      <c r="T241" s="30"/>
      <c r="U241" s="30"/>
      <c r="V241" s="30"/>
      <c r="W241" s="30"/>
      <c r="X241" s="30"/>
      <c r="Y241" s="30"/>
      <c r="Z241" s="30"/>
    </row>
    <row r="242" ht="42.75" customHeight="1">
      <c r="A242" s="135" t="s">
        <v>2714</v>
      </c>
      <c r="B242" s="136" t="s">
        <v>2715</v>
      </c>
      <c r="C242" s="137" t="s">
        <v>33</v>
      </c>
      <c r="D242" s="137" t="s">
        <v>636</v>
      </c>
      <c r="E242" s="137" t="s">
        <v>637</v>
      </c>
      <c r="F242" s="137" t="s">
        <v>68</v>
      </c>
      <c r="G242" s="138">
        <v>39703.0</v>
      </c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30"/>
      <c r="T242" s="30"/>
      <c r="U242" s="30"/>
      <c r="V242" s="30"/>
      <c r="W242" s="30"/>
      <c r="X242" s="30"/>
      <c r="Y242" s="30"/>
      <c r="Z242" s="30"/>
    </row>
    <row r="243" ht="51.0" customHeight="1">
      <c r="A243" s="139" t="s">
        <v>2716</v>
      </c>
      <c r="B243" s="119" t="s">
        <v>2717</v>
      </c>
      <c r="C243" s="38" t="s">
        <v>33</v>
      </c>
      <c r="D243" s="38" t="s">
        <v>638</v>
      </c>
      <c r="E243" s="38" t="s">
        <v>639</v>
      </c>
      <c r="F243" s="38" t="s">
        <v>64</v>
      </c>
      <c r="G243" s="141">
        <v>2009.0</v>
      </c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30"/>
      <c r="T243" s="30"/>
      <c r="U243" s="30"/>
      <c r="V243" s="30"/>
      <c r="W243" s="30"/>
      <c r="X243" s="30"/>
      <c r="Y243" s="30"/>
      <c r="Z243" s="30"/>
    </row>
    <row r="244" ht="42.75" customHeight="1">
      <c r="A244" s="135" t="s">
        <v>2718</v>
      </c>
      <c r="B244" s="136" t="s">
        <v>2719</v>
      </c>
      <c r="C244" s="137" t="s">
        <v>33</v>
      </c>
      <c r="D244" s="137" t="s">
        <v>640</v>
      </c>
      <c r="E244" s="137" t="s">
        <v>641</v>
      </c>
      <c r="F244" s="137" t="s">
        <v>36</v>
      </c>
      <c r="G244" s="138">
        <v>39701.0</v>
      </c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30"/>
      <c r="T244" s="30"/>
      <c r="U244" s="30"/>
      <c r="V244" s="30"/>
      <c r="W244" s="30"/>
      <c r="X244" s="30"/>
      <c r="Y244" s="30"/>
      <c r="Z244" s="30"/>
    </row>
    <row r="245" ht="38.25" customHeight="1">
      <c r="A245" s="139" t="s">
        <v>2720</v>
      </c>
      <c r="B245" s="119" t="s">
        <v>2721</v>
      </c>
      <c r="C245" s="38" t="s">
        <v>23</v>
      </c>
      <c r="D245" s="38" t="s">
        <v>642</v>
      </c>
      <c r="E245" s="38" t="s">
        <v>643</v>
      </c>
      <c r="F245" s="38" t="s">
        <v>399</v>
      </c>
      <c r="G245" s="140">
        <v>39491.0</v>
      </c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30"/>
      <c r="T245" s="30"/>
      <c r="U245" s="30"/>
      <c r="V245" s="30"/>
      <c r="W245" s="30"/>
      <c r="X245" s="30"/>
      <c r="Y245" s="30"/>
      <c r="Z245" s="30"/>
    </row>
    <row r="246" ht="38.25" customHeight="1">
      <c r="A246" s="135" t="s">
        <v>2722</v>
      </c>
      <c r="B246" s="136" t="s">
        <v>2723</v>
      </c>
      <c r="C246" s="137" t="s">
        <v>111</v>
      </c>
      <c r="D246" s="137" t="s">
        <v>644</v>
      </c>
      <c r="E246" s="137" t="s">
        <v>645</v>
      </c>
      <c r="F246" s="137" t="s">
        <v>31</v>
      </c>
      <c r="G246" s="138">
        <v>39681.0</v>
      </c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30"/>
      <c r="T246" s="30"/>
      <c r="U246" s="30"/>
      <c r="V246" s="30"/>
      <c r="W246" s="30"/>
      <c r="X246" s="30"/>
      <c r="Y246" s="30"/>
      <c r="Z246" s="30"/>
    </row>
    <row r="247" ht="42.75" customHeight="1">
      <c r="A247" s="139" t="s">
        <v>2724</v>
      </c>
      <c r="B247" s="119" t="s">
        <v>2725</v>
      </c>
      <c r="C247" s="38" t="s">
        <v>167</v>
      </c>
      <c r="D247" s="38" t="s">
        <v>646</v>
      </c>
      <c r="E247" s="38" t="s">
        <v>647</v>
      </c>
      <c r="F247" s="38" t="s">
        <v>620</v>
      </c>
      <c r="G247" s="140">
        <v>39482.0</v>
      </c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30"/>
      <c r="T247" s="30"/>
      <c r="U247" s="30"/>
      <c r="V247" s="30"/>
      <c r="W247" s="30"/>
      <c r="X247" s="30"/>
      <c r="Y247" s="30"/>
      <c r="Z247" s="30"/>
    </row>
    <row r="248" ht="42.75" customHeight="1">
      <c r="A248" s="135" t="s">
        <v>2726</v>
      </c>
      <c r="B248" s="136" t="s">
        <v>2727</v>
      </c>
      <c r="C248" s="137" t="s">
        <v>61</v>
      </c>
      <c r="D248" s="137" t="s">
        <v>648</v>
      </c>
      <c r="E248" s="137" t="s">
        <v>649</v>
      </c>
      <c r="F248" s="137" t="s">
        <v>613</v>
      </c>
      <c r="G248" s="138">
        <v>39454.0</v>
      </c>
      <c r="H248" s="188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30"/>
      <c r="T248" s="30"/>
      <c r="U248" s="30"/>
      <c r="V248" s="30"/>
      <c r="W248" s="30"/>
      <c r="X248" s="30"/>
      <c r="Y248" s="30"/>
      <c r="Z248" s="30"/>
    </row>
    <row r="249" ht="42.75" customHeight="1">
      <c r="A249" s="139" t="s">
        <v>2728</v>
      </c>
      <c r="B249" s="119" t="s">
        <v>2729</v>
      </c>
      <c r="C249" s="38" t="s">
        <v>116</v>
      </c>
      <c r="D249" s="38" t="s">
        <v>650</v>
      </c>
      <c r="E249" s="38" t="s">
        <v>651</v>
      </c>
      <c r="F249" s="38" t="s">
        <v>356</v>
      </c>
      <c r="G249" s="140">
        <v>39883.0</v>
      </c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30"/>
      <c r="T249" s="30"/>
      <c r="U249" s="30"/>
      <c r="V249" s="30"/>
      <c r="W249" s="30"/>
      <c r="X249" s="30"/>
      <c r="Y249" s="30"/>
      <c r="Z249" s="30"/>
    </row>
    <row r="250" ht="63.75" customHeight="1">
      <c r="A250" s="135" t="s">
        <v>2730</v>
      </c>
      <c r="B250" s="136" t="s">
        <v>2731</v>
      </c>
      <c r="C250" s="137" t="s">
        <v>18</v>
      </c>
      <c r="D250" s="137" t="s">
        <v>652</v>
      </c>
      <c r="E250" s="137" t="s">
        <v>653</v>
      </c>
      <c r="F250" s="137" t="s">
        <v>356</v>
      </c>
      <c r="G250" s="138">
        <v>39702.0</v>
      </c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30"/>
      <c r="T250" s="30"/>
      <c r="U250" s="30"/>
      <c r="V250" s="30"/>
      <c r="W250" s="30"/>
      <c r="X250" s="30"/>
      <c r="Y250" s="30"/>
      <c r="Z250" s="30"/>
    </row>
    <row r="251" ht="42.75" customHeight="1">
      <c r="A251" s="139" t="s">
        <v>2732</v>
      </c>
      <c r="B251" s="119" t="s">
        <v>2733</v>
      </c>
      <c r="C251" s="38" t="s">
        <v>43</v>
      </c>
      <c r="D251" s="38" t="s">
        <v>654</v>
      </c>
      <c r="E251" s="38" t="s">
        <v>655</v>
      </c>
      <c r="F251" s="38" t="s">
        <v>620</v>
      </c>
      <c r="G251" s="140">
        <v>39621.0</v>
      </c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30"/>
      <c r="T251" s="30"/>
      <c r="U251" s="30"/>
      <c r="V251" s="30"/>
      <c r="W251" s="30"/>
      <c r="X251" s="30"/>
      <c r="Y251" s="30"/>
      <c r="Z251" s="30"/>
    </row>
    <row r="252" ht="38.25" customHeight="1">
      <c r="A252" s="180" t="s">
        <v>2734</v>
      </c>
      <c r="B252" s="171" t="s">
        <v>2735</v>
      </c>
      <c r="C252" s="172" t="s">
        <v>386</v>
      </c>
      <c r="D252" s="172" t="s">
        <v>656</v>
      </c>
      <c r="E252" s="172" t="s">
        <v>657</v>
      </c>
      <c r="F252" s="172" t="s">
        <v>658</v>
      </c>
      <c r="G252" s="178">
        <v>39477.0</v>
      </c>
      <c r="H252" s="189" t="s">
        <v>2623</v>
      </c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28.5" customHeight="1">
      <c r="A253" s="139" t="s">
        <v>2736</v>
      </c>
      <c r="B253" s="119" t="s">
        <v>2737</v>
      </c>
      <c r="C253" s="38" t="s">
        <v>301</v>
      </c>
      <c r="D253" s="38" t="s">
        <v>659</v>
      </c>
      <c r="E253" s="38" t="s">
        <v>660</v>
      </c>
      <c r="F253" s="38" t="s">
        <v>572</v>
      </c>
      <c r="G253" s="140">
        <v>39782.0</v>
      </c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30"/>
      <c r="T253" s="30"/>
      <c r="U253" s="30"/>
      <c r="V253" s="30"/>
      <c r="W253" s="30"/>
      <c r="X253" s="30"/>
      <c r="Y253" s="30"/>
      <c r="Z253" s="30"/>
    </row>
    <row r="254" ht="42.75" customHeight="1">
      <c r="A254" s="135" t="s">
        <v>2738</v>
      </c>
      <c r="B254" s="136" t="s">
        <v>2739</v>
      </c>
      <c r="C254" s="137" t="s">
        <v>61</v>
      </c>
      <c r="D254" s="137" t="s">
        <v>661</v>
      </c>
      <c r="E254" s="137" t="s">
        <v>662</v>
      </c>
      <c r="F254" s="137" t="s">
        <v>68</v>
      </c>
      <c r="G254" s="138">
        <v>39878.0</v>
      </c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30"/>
      <c r="T254" s="30"/>
      <c r="U254" s="30"/>
      <c r="V254" s="30"/>
      <c r="W254" s="30"/>
      <c r="X254" s="30"/>
      <c r="Y254" s="30"/>
      <c r="Z254" s="30"/>
    </row>
    <row r="255" ht="38.25" customHeight="1">
      <c r="A255" s="139" t="s">
        <v>2740</v>
      </c>
      <c r="B255" s="119" t="s">
        <v>2741</v>
      </c>
      <c r="C255" s="38" t="s">
        <v>47</v>
      </c>
      <c r="D255" s="38" t="s">
        <v>2742</v>
      </c>
      <c r="E255" s="38" t="s">
        <v>664</v>
      </c>
      <c r="F255" s="38" t="s">
        <v>447</v>
      </c>
      <c r="G255" s="140">
        <v>39496.0</v>
      </c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30"/>
      <c r="T255" s="30"/>
      <c r="U255" s="30"/>
      <c r="V255" s="30"/>
      <c r="W255" s="30"/>
      <c r="X255" s="30"/>
      <c r="Y255" s="30"/>
      <c r="Z255" s="30"/>
    </row>
    <row r="256" ht="28.5" customHeight="1">
      <c r="A256" s="135" t="s">
        <v>2743</v>
      </c>
      <c r="B256" s="136" t="s">
        <v>2744</v>
      </c>
      <c r="C256" s="137" t="s">
        <v>23</v>
      </c>
      <c r="D256" s="137" t="s">
        <v>665</v>
      </c>
      <c r="E256" s="137" t="s">
        <v>666</v>
      </c>
      <c r="F256" s="137" t="s">
        <v>447</v>
      </c>
      <c r="G256" s="138">
        <v>39703.0</v>
      </c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30"/>
      <c r="T256" s="30"/>
      <c r="U256" s="30"/>
      <c r="V256" s="30"/>
      <c r="W256" s="30"/>
      <c r="X256" s="30"/>
      <c r="Y256" s="30"/>
      <c r="Z256" s="30"/>
    </row>
    <row r="257" ht="38.25" customHeight="1">
      <c r="A257" s="139" t="s">
        <v>2745</v>
      </c>
      <c r="B257" s="119" t="s">
        <v>2746</v>
      </c>
      <c r="C257" s="38" t="s">
        <v>18</v>
      </c>
      <c r="D257" s="38" t="s">
        <v>667</v>
      </c>
      <c r="E257" s="38" t="s">
        <v>668</v>
      </c>
      <c r="F257" s="38" t="s">
        <v>184</v>
      </c>
      <c r="G257" s="140">
        <v>39878.0</v>
      </c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30"/>
      <c r="T257" s="30"/>
      <c r="U257" s="30"/>
      <c r="V257" s="30"/>
      <c r="W257" s="30"/>
      <c r="X257" s="30"/>
      <c r="Y257" s="30"/>
      <c r="Z257" s="30"/>
    </row>
    <row r="258" ht="42.75" customHeight="1">
      <c r="A258" s="135" t="s">
        <v>2747</v>
      </c>
      <c r="B258" s="136" t="s">
        <v>2748</v>
      </c>
      <c r="C258" s="136" t="s">
        <v>669</v>
      </c>
      <c r="D258" s="137" t="s">
        <v>670</v>
      </c>
      <c r="E258" s="137" t="s">
        <v>671</v>
      </c>
      <c r="F258" s="137" t="s">
        <v>447</v>
      </c>
      <c r="G258" s="182">
        <v>2009.0</v>
      </c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30"/>
      <c r="T258" s="30"/>
      <c r="U258" s="30"/>
      <c r="V258" s="30"/>
      <c r="W258" s="30"/>
      <c r="X258" s="30"/>
      <c r="Y258" s="30"/>
      <c r="Z258" s="30"/>
    </row>
    <row r="259" ht="63.75" customHeight="1">
      <c r="A259" s="139" t="s">
        <v>2749</v>
      </c>
      <c r="B259" s="119" t="s">
        <v>2750</v>
      </c>
      <c r="C259" s="38" t="s">
        <v>386</v>
      </c>
      <c r="D259" s="38" t="s">
        <v>672</v>
      </c>
      <c r="E259" s="38" t="s">
        <v>673</v>
      </c>
      <c r="F259" s="38" t="s">
        <v>114</v>
      </c>
      <c r="G259" s="141">
        <v>2009.0</v>
      </c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30"/>
      <c r="T259" s="30"/>
      <c r="U259" s="30"/>
      <c r="V259" s="30"/>
      <c r="W259" s="30"/>
      <c r="X259" s="30"/>
      <c r="Y259" s="30"/>
      <c r="Z259" s="30"/>
    </row>
    <row r="260" ht="42.75" customHeight="1">
      <c r="A260" s="135" t="s">
        <v>2751</v>
      </c>
      <c r="B260" s="136" t="s">
        <v>2752</v>
      </c>
      <c r="C260" s="137" t="s">
        <v>674</v>
      </c>
      <c r="D260" s="137" t="s">
        <v>675</v>
      </c>
      <c r="E260" s="137" t="s">
        <v>676</v>
      </c>
      <c r="F260" s="137" t="s">
        <v>184</v>
      </c>
      <c r="G260" s="182">
        <v>2009.0</v>
      </c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30"/>
      <c r="T260" s="30"/>
      <c r="U260" s="30"/>
      <c r="V260" s="30"/>
      <c r="W260" s="30"/>
      <c r="X260" s="30"/>
      <c r="Y260" s="30"/>
      <c r="Z260" s="30"/>
    </row>
    <row r="261" ht="29.25" customHeight="1">
      <c r="A261" s="190"/>
      <c r="B261" s="185" t="s">
        <v>2753</v>
      </c>
      <c r="C261" s="191"/>
      <c r="D261" s="191"/>
      <c r="E261" s="191" t="s">
        <v>2754</v>
      </c>
      <c r="F261" s="191" t="s">
        <v>2755</v>
      </c>
      <c r="G261" s="192">
        <v>2009.0</v>
      </c>
      <c r="H261" s="189" t="s">
        <v>2756</v>
      </c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</row>
    <row r="262" ht="51.0" customHeight="1">
      <c r="A262" s="150" t="s">
        <v>2757</v>
      </c>
      <c r="B262" s="151" t="s">
        <v>2758</v>
      </c>
      <c r="C262" s="152" t="s">
        <v>116</v>
      </c>
      <c r="D262" s="152" t="s">
        <v>677</v>
      </c>
      <c r="E262" s="137" t="s">
        <v>678</v>
      </c>
      <c r="F262" s="152" t="s">
        <v>658</v>
      </c>
      <c r="G262" s="154">
        <v>40037.0</v>
      </c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30"/>
      <c r="T262" s="30"/>
      <c r="U262" s="30"/>
      <c r="V262" s="30"/>
      <c r="W262" s="30"/>
      <c r="X262" s="30"/>
      <c r="Y262" s="30"/>
      <c r="Z262" s="30"/>
    </row>
    <row r="263" ht="28.5" customHeight="1">
      <c r="A263" s="139" t="s">
        <v>2759</v>
      </c>
      <c r="B263" s="119" t="s">
        <v>2760</v>
      </c>
      <c r="C263" s="38" t="s">
        <v>386</v>
      </c>
      <c r="D263" s="38" t="s">
        <v>679</v>
      </c>
      <c r="E263" s="38" t="s">
        <v>680</v>
      </c>
      <c r="F263" s="38" t="s">
        <v>114</v>
      </c>
      <c r="G263" s="140">
        <v>39878.0</v>
      </c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30"/>
      <c r="T263" s="30"/>
      <c r="U263" s="30"/>
      <c r="V263" s="30"/>
      <c r="W263" s="30"/>
      <c r="X263" s="30"/>
      <c r="Y263" s="30"/>
      <c r="Z263" s="30"/>
    </row>
    <row r="264" ht="42.75" customHeight="1">
      <c r="A264" s="135" t="s">
        <v>2761</v>
      </c>
      <c r="B264" s="136" t="s">
        <v>2762</v>
      </c>
      <c r="C264" s="137" t="s">
        <v>301</v>
      </c>
      <c r="D264" s="137" t="s">
        <v>681</v>
      </c>
      <c r="E264" s="137" t="s">
        <v>682</v>
      </c>
      <c r="F264" s="137" t="s">
        <v>105</v>
      </c>
      <c r="G264" s="138">
        <v>39836.0</v>
      </c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30"/>
      <c r="T264" s="30"/>
      <c r="U264" s="30"/>
      <c r="V264" s="30"/>
      <c r="W264" s="30"/>
      <c r="X264" s="30"/>
      <c r="Y264" s="30"/>
      <c r="Z264" s="30"/>
    </row>
    <row r="265" ht="28.5" customHeight="1">
      <c r="A265" s="139" t="s">
        <v>2763</v>
      </c>
      <c r="B265" s="119" t="s">
        <v>2764</v>
      </c>
      <c r="C265" s="38" t="s">
        <v>61</v>
      </c>
      <c r="D265" s="38" t="s">
        <v>683</v>
      </c>
      <c r="E265" s="38" t="s">
        <v>684</v>
      </c>
      <c r="F265" s="38" t="s">
        <v>685</v>
      </c>
      <c r="G265" s="140">
        <v>39979.0</v>
      </c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30"/>
      <c r="T265" s="30"/>
      <c r="U265" s="30"/>
      <c r="V265" s="30"/>
      <c r="W265" s="30"/>
      <c r="X265" s="30"/>
      <c r="Y265" s="30"/>
      <c r="Z265" s="30"/>
    </row>
    <row r="266" ht="28.5" customHeight="1">
      <c r="A266" s="135" t="s">
        <v>2765</v>
      </c>
      <c r="B266" s="136" t="s">
        <v>2766</v>
      </c>
      <c r="C266" s="137" t="s">
        <v>47</v>
      </c>
      <c r="D266" s="137" t="s">
        <v>686</v>
      </c>
      <c r="E266" s="137" t="s">
        <v>687</v>
      </c>
      <c r="F266" s="137" t="s">
        <v>399</v>
      </c>
      <c r="G266" s="138">
        <v>39847.0</v>
      </c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30"/>
      <c r="T266" s="30"/>
      <c r="U266" s="30"/>
      <c r="V266" s="30"/>
      <c r="W266" s="30"/>
      <c r="X266" s="30"/>
      <c r="Y266" s="30"/>
      <c r="Z266" s="30"/>
    </row>
    <row r="267" ht="51.0" customHeight="1">
      <c r="A267" s="139" t="s">
        <v>2767</v>
      </c>
      <c r="B267" s="119" t="s">
        <v>2768</v>
      </c>
      <c r="C267" s="38" t="s">
        <v>18</v>
      </c>
      <c r="D267" s="38" t="s">
        <v>688</v>
      </c>
      <c r="E267" s="38" t="s">
        <v>689</v>
      </c>
      <c r="F267" s="38" t="s">
        <v>685</v>
      </c>
      <c r="G267" s="140">
        <v>40165.0</v>
      </c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30"/>
      <c r="T267" s="30"/>
      <c r="U267" s="30"/>
      <c r="V267" s="30"/>
      <c r="W267" s="30"/>
      <c r="X267" s="30"/>
      <c r="Y267" s="30"/>
      <c r="Z267" s="30"/>
    </row>
    <row r="268" ht="38.25" customHeight="1">
      <c r="A268" s="135" t="s">
        <v>2769</v>
      </c>
      <c r="B268" s="136" t="s">
        <v>2770</v>
      </c>
      <c r="C268" s="137" t="s">
        <v>47</v>
      </c>
      <c r="D268" s="137" t="s">
        <v>690</v>
      </c>
      <c r="E268" s="137" t="s">
        <v>691</v>
      </c>
      <c r="F268" s="137" t="s">
        <v>114</v>
      </c>
      <c r="G268" s="138">
        <v>40045.0</v>
      </c>
      <c r="H268" s="193" t="s">
        <v>2771</v>
      </c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30"/>
      <c r="T268" s="30"/>
      <c r="U268" s="30"/>
      <c r="V268" s="30"/>
      <c r="W268" s="30"/>
      <c r="X268" s="30"/>
      <c r="Y268" s="30"/>
      <c r="Z268" s="30"/>
    </row>
    <row r="269" ht="51.0" customHeight="1">
      <c r="A269" s="139" t="s">
        <v>2772</v>
      </c>
      <c r="B269" s="119" t="s">
        <v>2773</v>
      </c>
      <c r="C269" s="38" t="s">
        <v>33</v>
      </c>
      <c r="D269" s="38" t="s">
        <v>692</v>
      </c>
      <c r="E269" s="38" t="s">
        <v>693</v>
      </c>
      <c r="F269" s="38" t="s">
        <v>64</v>
      </c>
      <c r="G269" s="140">
        <v>40170.0</v>
      </c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30"/>
      <c r="T269" s="30"/>
      <c r="U269" s="30"/>
      <c r="V269" s="30"/>
      <c r="W269" s="30"/>
      <c r="X269" s="30"/>
      <c r="Y269" s="30"/>
      <c r="Z269" s="30"/>
    </row>
    <row r="270" ht="28.5" customHeight="1">
      <c r="A270" s="135" t="s">
        <v>2774</v>
      </c>
      <c r="B270" s="136" t="s">
        <v>2775</v>
      </c>
      <c r="C270" s="137" t="s">
        <v>252</v>
      </c>
      <c r="D270" s="137" t="s">
        <v>694</v>
      </c>
      <c r="E270" s="137" t="s">
        <v>695</v>
      </c>
      <c r="F270" s="137" t="s">
        <v>447</v>
      </c>
      <c r="G270" s="138">
        <v>40154.0</v>
      </c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30"/>
      <c r="T270" s="30"/>
      <c r="U270" s="30"/>
      <c r="V270" s="30"/>
      <c r="W270" s="30"/>
      <c r="X270" s="30"/>
      <c r="Y270" s="30"/>
      <c r="Z270" s="30"/>
    </row>
    <row r="271" ht="57.0" customHeight="1">
      <c r="A271" s="139" t="s">
        <v>2776</v>
      </c>
      <c r="B271" s="119" t="s">
        <v>2777</v>
      </c>
      <c r="C271" s="38" t="s">
        <v>311</v>
      </c>
      <c r="D271" s="38" t="s">
        <v>696</v>
      </c>
      <c r="E271" s="38" t="s">
        <v>697</v>
      </c>
      <c r="F271" s="38" t="s">
        <v>170</v>
      </c>
      <c r="G271" s="140">
        <v>40161.0</v>
      </c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30"/>
      <c r="T271" s="30"/>
      <c r="U271" s="30"/>
      <c r="V271" s="30"/>
      <c r="W271" s="30"/>
      <c r="X271" s="30"/>
      <c r="Y271" s="30"/>
      <c r="Z271" s="30"/>
    </row>
    <row r="272" ht="85.5" customHeight="1">
      <c r="A272" s="135" t="s">
        <v>2778</v>
      </c>
      <c r="B272" s="136" t="s">
        <v>2779</v>
      </c>
      <c r="C272" s="137" t="s">
        <v>43</v>
      </c>
      <c r="D272" s="137" t="s">
        <v>698</v>
      </c>
      <c r="E272" s="137" t="s">
        <v>699</v>
      </c>
      <c r="F272" s="137" t="s">
        <v>613</v>
      </c>
      <c r="G272" s="138">
        <v>39877.0</v>
      </c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30"/>
      <c r="T272" s="30"/>
      <c r="U272" s="30"/>
      <c r="V272" s="30"/>
      <c r="W272" s="30"/>
      <c r="X272" s="30"/>
      <c r="Y272" s="30"/>
      <c r="Z272" s="30"/>
    </row>
    <row r="273" ht="38.25" customHeight="1">
      <c r="A273" s="139" t="s">
        <v>2780</v>
      </c>
      <c r="B273" s="119" t="s">
        <v>2781</v>
      </c>
      <c r="C273" s="38" t="s">
        <v>23</v>
      </c>
      <c r="D273" s="38" t="s">
        <v>700</v>
      </c>
      <c r="E273" s="38" t="s">
        <v>701</v>
      </c>
      <c r="F273" s="38" t="s">
        <v>105</v>
      </c>
      <c r="G273" s="140">
        <v>40037.0</v>
      </c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30"/>
      <c r="T273" s="30"/>
      <c r="U273" s="30"/>
      <c r="V273" s="30"/>
      <c r="W273" s="30"/>
      <c r="X273" s="30"/>
      <c r="Y273" s="30"/>
      <c r="Z273" s="30"/>
    </row>
    <row r="274" ht="42.75" customHeight="1">
      <c r="A274" s="135" t="s">
        <v>2782</v>
      </c>
      <c r="B274" s="136" t="s">
        <v>2783</v>
      </c>
      <c r="C274" s="137" t="s">
        <v>33</v>
      </c>
      <c r="D274" s="137" t="s">
        <v>702</v>
      </c>
      <c r="E274" s="137" t="s">
        <v>703</v>
      </c>
      <c r="F274" s="137" t="s">
        <v>704</v>
      </c>
      <c r="G274" s="138">
        <v>40037.0</v>
      </c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30"/>
      <c r="T274" s="30"/>
      <c r="U274" s="30"/>
      <c r="V274" s="30"/>
      <c r="W274" s="30"/>
      <c r="X274" s="30"/>
      <c r="Y274" s="30"/>
      <c r="Z274" s="30"/>
    </row>
    <row r="275" ht="42.75" customHeight="1">
      <c r="A275" s="139" t="s">
        <v>705</v>
      </c>
      <c r="B275" s="119" t="s">
        <v>2784</v>
      </c>
      <c r="C275" s="38" t="s">
        <v>18</v>
      </c>
      <c r="D275" s="38" t="s">
        <v>706</v>
      </c>
      <c r="E275" s="38" t="s">
        <v>707</v>
      </c>
      <c r="F275" s="38" t="s">
        <v>356</v>
      </c>
      <c r="G275" s="140">
        <v>40037.0</v>
      </c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30"/>
      <c r="T275" s="30"/>
      <c r="U275" s="30"/>
      <c r="V275" s="30"/>
      <c r="W275" s="30"/>
      <c r="X275" s="30"/>
      <c r="Y275" s="30"/>
      <c r="Z275" s="30"/>
    </row>
    <row r="276" ht="28.5" customHeight="1">
      <c r="A276" s="135" t="s">
        <v>708</v>
      </c>
      <c r="B276" s="136" t="s">
        <v>2785</v>
      </c>
      <c r="C276" s="137" t="s">
        <v>116</v>
      </c>
      <c r="D276" s="137" t="s">
        <v>709</v>
      </c>
      <c r="E276" s="137" t="s">
        <v>710</v>
      </c>
      <c r="F276" s="137" t="s">
        <v>105</v>
      </c>
      <c r="G276" s="138">
        <v>40037.0</v>
      </c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30"/>
      <c r="T276" s="30"/>
      <c r="U276" s="30"/>
      <c r="V276" s="30"/>
      <c r="W276" s="30"/>
      <c r="X276" s="30"/>
      <c r="Y276" s="30"/>
      <c r="Z276" s="30"/>
    </row>
    <row r="277" ht="42.75" customHeight="1">
      <c r="A277" s="139" t="s">
        <v>711</v>
      </c>
      <c r="B277" s="119" t="s">
        <v>2786</v>
      </c>
      <c r="C277" s="38" t="s">
        <v>33</v>
      </c>
      <c r="D277" s="38" t="s">
        <v>712</v>
      </c>
      <c r="E277" s="38" t="s">
        <v>713</v>
      </c>
      <c r="F277" s="38" t="s">
        <v>613</v>
      </c>
      <c r="G277" s="140">
        <v>40037.0</v>
      </c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30"/>
      <c r="T277" s="30"/>
      <c r="U277" s="30"/>
      <c r="V277" s="30"/>
      <c r="W277" s="30"/>
      <c r="X277" s="30"/>
      <c r="Y277" s="30"/>
      <c r="Z277" s="30"/>
    </row>
    <row r="278" ht="51.0" customHeight="1">
      <c r="A278" s="135" t="s">
        <v>714</v>
      </c>
      <c r="B278" s="136" t="s">
        <v>2787</v>
      </c>
      <c r="C278" s="137" t="s">
        <v>61</v>
      </c>
      <c r="D278" s="137" t="s">
        <v>715</v>
      </c>
      <c r="E278" s="137" t="s">
        <v>716</v>
      </c>
      <c r="F278" s="137" t="s">
        <v>41</v>
      </c>
      <c r="G278" s="138">
        <v>40045.0</v>
      </c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30"/>
      <c r="T278" s="30"/>
      <c r="U278" s="30"/>
      <c r="V278" s="30"/>
      <c r="W278" s="30"/>
      <c r="X278" s="30"/>
      <c r="Y278" s="30"/>
      <c r="Z278" s="30"/>
    </row>
    <row r="279" ht="51.0" customHeight="1">
      <c r="A279" s="139" t="s">
        <v>717</v>
      </c>
      <c r="B279" s="119" t="s">
        <v>2788</v>
      </c>
      <c r="C279" s="38" t="s">
        <v>386</v>
      </c>
      <c r="D279" s="38" t="s">
        <v>718</v>
      </c>
      <c r="E279" s="38" t="s">
        <v>719</v>
      </c>
      <c r="F279" s="38" t="s">
        <v>205</v>
      </c>
      <c r="G279" s="140">
        <v>40043.0</v>
      </c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30"/>
      <c r="T279" s="30"/>
      <c r="U279" s="30"/>
      <c r="V279" s="30"/>
      <c r="W279" s="30"/>
      <c r="X279" s="30"/>
      <c r="Y279" s="30"/>
      <c r="Z279" s="30"/>
    </row>
    <row r="280" ht="42.75" customHeight="1">
      <c r="A280" s="135" t="s">
        <v>720</v>
      </c>
      <c r="B280" s="136" t="s">
        <v>2789</v>
      </c>
      <c r="C280" s="137" t="s">
        <v>23</v>
      </c>
      <c r="D280" s="137" t="s">
        <v>721</v>
      </c>
      <c r="E280" s="137" t="s">
        <v>722</v>
      </c>
      <c r="F280" s="137" t="s">
        <v>170</v>
      </c>
      <c r="G280" s="138">
        <v>40161.0</v>
      </c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30"/>
      <c r="T280" s="30"/>
      <c r="U280" s="30"/>
      <c r="V280" s="30"/>
      <c r="W280" s="30"/>
      <c r="X280" s="30"/>
      <c r="Y280" s="30"/>
      <c r="Z280" s="30"/>
    </row>
    <row r="281" ht="42.75" customHeight="1">
      <c r="A281" s="139" t="s">
        <v>723</v>
      </c>
      <c r="B281" s="119" t="s">
        <v>2790</v>
      </c>
      <c r="C281" s="38" t="s">
        <v>33</v>
      </c>
      <c r="D281" s="38" t="s">
        <v>724</v>
      </c>
      <c r="E281" s="38" t="s">
        <v>725</v>
      </c>
      <c r="F281" s="38" t="s">
        <v>147</v>
      </c>
      <c r="G281" s="140">
        <v>39847.0</v>
      </c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30"/>
      <c r="T281" s="30"/>
      <c r="U281" s="30"/>
      <c r="V281" s="30"/>
      <c r="W281" s="30"/>
      <c r="X281" s="30"/>
      <c r="Y281" s="30"/>
      <c r="Z281" s="30"/>
    </row>
    <row r="282" ht="42.75" customHeight="1">
      <c r="A282" s="135" t="s">
        <v>726</v>
      </c>
      <c r="B282" s="136" t="s">
        <v>2791</v>
      </c>
      <c r="C282" s="137" t="s">
        <v>43</v>
      </c>
      <c r="D282" s="137" t="s">
        <v>727</v>
      </c>
      <c r="E282" s="137" t="s">
        <v>728</v>
      </c>
      <c r="F282" s="137" t="s">
        <v>729</v>
      </c>
      <c r="G282" s="138">
        <v>39874.0</v>
      </c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30"/>
      <c r="T282" s="30"/>
      <c r="U282" s="30"/>
      <c r="V282" s="30"/>
      <c r="W282" s="30"/>
      <c r="X282" s="30"/>
      <c r="Y282" s="30"/>
      <c r="Z282" s="30"/>
    </row>
    <row r="283" ht="42.75" customHeight="1">
      <c r="A283" s="139" t="s">
        <v>730</v>
      </c>
      <c r="B283" s="119" t="s">
        <v>2792</v>
      </c>
      <c r="C283" s="38" t="s">
        <v>33</v>
      </c>
      <c r="D283" s="38" t="s">
        <v>731</v>
      </c>
      <c r="E283" s="38" t="s">
        <v>732</v>
      </c>
      <c r="F283" s="38" t="s">
        <v>64</v>
      </c>
      <c r="G283" s="140">
        <v>39839.0</v>
      </c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30"/>
      <c r="T283" s="30"/>
      <c r="U283" s="30"/>
      <c r="V283" s="30"/>
      <c r="W283" s="30"/>
      <c r="X283" s="30"/>
      <c r="Y283" s="30"/>
      <c r="Z283" s="30"/>
    </row>
    <row r="284" ht="42.75" customHeight="1">
      <c r="A284" s="135" t="s">
        <v>733</v>
      </c>
      <c r="B284" s="136" t="s">
        <v>2793</v>
      </c>
      <c r="C284" s="137" t="s">
        <v>734</v>
      </c>
      <c r="D284" s="137" t="s">
        <v>735</v>
      </c>
      <c r="E284" s="137" t="s">
        <v>736</v>
      </c>
      <c r="F284" s="137" t="s">
        <v>685</v>
      </c>
      <c r="G284" s="138">
        <v>39874.0</v>
      </c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30"/>
      <c r="T284" s="30"/>
      <c r="U284" s="30"/>
      <c r="V284" s="30"/>
      <c r="W284" s="30"/>
      <c r="X284" s="30"/>
      <c r="Y284" s="30"/>
      <c r="Z284" s="30"/>
    </row>
    <row r="285" ht="51.0" customHeight="1">
      <c r="A285" s="139" t="s">
        <v>737</v>
      </c>
      <c r="B285" s="119" t="s">
        <v>2794</v>
      </c>
      <c r="C285" s="38" t="s">
        <v>61</v>
      </c>
      <c r="D285" s="38" t="s">
        <v>738</v>
      </c>
      <c r="E285" s="38" t="s">
        <v>739</v>
      </c>
      <c r="F285" s="38" t="s">
        <v>399</v>
      </c>
      <c r="G285" s="140">
        <v>40023.0</v>
      </c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30"/>
      <c r="T285" s="30"/>
      <c r="U285" s="30"/>
      <c r="V285" s="30"/>
      <c r="W285" s="30"/>
      <c r="X285" s="30"/>
      <c r="Y285" s="30"/>
      <c r="Z285" s="30"/>
    </row>
    <row r="286" ht="51.0" customHeight="1">
      <c r="A286" s="135" t="s">
        <v>740</v>
      </c>
      <c r="B286" s="136" t="s">
        <v>2795</v>
      </c>
      <c r="C286" s="137" t="s">
        <v>33</v>
      </c>
      <c r="D286" s="137" t="s">
        <v>741</v>
      </c>
      <c r="E286" s="137" t="s">
        <v>742</v>
      </c>
      <c r="F286" s="137" t="s">
        <v>147</v>
      </c>
      <c r="G286" s="138">
        <v>39848.0</v>
      </c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30"/>
      <c r="T286" s="30"/>
      <c r="U286" s="30"/>
      <c r="V286" s="30"/>
      <c r="W286" s="30"/>
      <c r="X286" s="30"/>
      <c r="Y286" s="30"/>
      <c r="Z286" s="30"/>
    </row>
    <row r="287" ht="51.0" customHeight="1">
      <c r="A287" s="139" t="s">
        <v>743</v>
      </c>
      <c r="B287" s="119" t="s">
        <v>2796</v>
      </c>
      <c r="C287" s="38" t="s">
        <v>23</v>
      </c>
      <c r="D287" s="38" t="s">
        <v>744</v>
      </c>
      <c r="E287" s="38" t="s">
        <v>745</v>
      </c>
      <c r="F287" s="38" t="s">
        <v>88</v>
      </c>
      <c r="G287" s="140">
        <v>39883.0</v>
      </c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30"/>
      <c r="T287" s="30"/>
      <c r="U287" s="30"/>
      <c r="V287" s="30"/>
      <c r="W287" s="30"/>
      <c r="X287" s="30"/>
      <c r="Y287" s="30"/>
      <c r="Z287" s="30"/>
    </row>
    <row r="288" ht="42.75" customHeight="1">
      <c r="A288" s="135" t="s">
        <v>746</v>
      </c>
      <c r="B288" s="136" t="s">
        <v>2797</v>
      </c>
      <c r="C288" s="137" t="s">
        <v>747</v>
      </c>
      <c r="D288" s="137" t="s">
        <v>748</v>
      </c>
      <c r="E288" s="137" t="s">
        <v>749</v>
      </c>
      <c r="F288" s="137" t="s">
        <v>170</v>
      </c>
      <c r="G288" s="138">
        <v>39882.0</v>
      </c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30"/>
      <c r="T288" s="30"/>
      <c r="U288" s="30"/>
      <c r="V288" s="30"/>
      <c r="W288" s="30"/>
      <c r="X288" s="30"/>
      <c r="Y288" s="30"/>
      <c r="Z288" s="30"/>
    </row>
    <row r="289" ht="38.25" customHeight="1">
      <c r="A289" s="139" t="s">
        <v>750</v>
      </c>
      <c r="B289" s="119" t="s">
        <v>2798</v>
      </c>
      <c r="C289" s="38" t="s">
        <v>61</v>
      </c>
      <c r="D289" s="38" t="s">
        <v>751</v>
      </c>
      <c r="E289" s="38" t="s">
        <v>752</v>
      </c>
      <c r="F289" s="38" t="s">
        <v>73</v>
      </c>
      <c r="G289" s="140">
        <v>40168.0</v>
      </c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30"/>
      <c r="T289" s="30"/>
      <c r="U289" s="30"/>
      <c r="V289" s="30"/>
      <c r="W289" s="30"/>
      <c r="X289" s="30"/>
      <c r="Y289" s="30"/>
      <c r="Z289" s="30"/>
    </row>
    <row r="290" ht="51.0" customHeight="1">
      <c r="A290" s="135" t="s">
        <v>753</v>
      </c>
      <c r="B290" s="136" t="s">
        <v>2799</v>
      </c>
      <c r="C290" s="137" t="s">
        <v>754</v>
      </c>
      <c r="D290" s="137" t="s">
        <v>755</v>
      </c>
      <c r="E290" s="137" t="s">
        <v>756</v>
      </c>
      <c r="F290" s="137" t="s">
        <v>613</v>
      </c>
      <c r="G290" s="138">
        <v>39871.0</v>
      </c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30"/>
      <c r="T290" s="30"/>
      <c r="U290" s="30"/>
      <c r="V290" s="30"/>
      <c r="W290" s="30"/>
      <c r="X290" s="30"/>
      <c r="Y290" s="30"/>
      <c r="Z290" s="30"/>
    </row>
    <row r="291" ht="38.25" customHeight="1">
      <c r="A291" s="139" t="s">
        <v>757</v>
      </c>
      <c r="B291" s="119" t="s">
        <v>2800</v>
      </c>
      <c r="C291" s="38" t="s">
        <v>47</v>
      </c>
      <c r="D291" s="38" t="s">
        <v>758</v>
      </c>
      <c r="E291" s="38" t="s">
        <v>759</v>
      </c>
      <c r="F291" s="38" t="s">
        <v>447</v>
      </c>
      <c r="G291" s="140">
        <v>39881.0</v>
      </c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30"/>
      <c r="T291" s="30"/>
      <c r="U291" s="30"/>
      <c r="V291" s="30"/>
      <c r="W291" s="30"/>
      <c r="X291" s="30"/>
      <c r="Y291" s="30"/>
      <c r="Z291" s="30"/>
    </row>
    <row r="292" ht="51.0" customHeight="1">
      <c r="A292" s="135" t="s">
        <v>760</v>
      </c>
      <c r="B292" s="136" t="s">
        <v>2801</v>
      </c>
      <c r="C292" s="137" t="s">
        <v>43</v>
      </c>
      <c r="D292" s="137" t="s">
        <v>761</v>
      </c>
      <c r="E292" s="137" t="s">
        <v>762</v>
      </c>
      <c r="F292" s="137" t="s">
        <v>620</v>
      </c>
      <c r="G292" s="138">
        <v>39882.0</v>
      </c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30"/>
      <c r="T292" s="30"/>
      <c r="U292" s="30"/>
      <c r="V292" s="30"/>
      <c r="W292" s="30"/>
      <c r="X292" s="30"/>
      <c r="Y292" s="30"/>
      <c r="Z292" s="30"/>
    </row>
    <row r="293" ht="38.25" customHeight="1">
      <c r="A293" s="139" t="s">
        <v>763</v>
      </c>
      <c r="B293" s="119" t="s">
        <v>2802</v>
      </c>
      <c r="C293" s="38" t="s">
        <v>28</v>
      </c>
      <c r="D293" s="38" t="s">
        <v>764</v>
      </c>
      <c r="E293" s="38" t="s">
        <v>765</v>
      </c>
      <c r="F293" s="38" t="s">
        <v>356</v>
      </c>
      <c r="G293" s="140">
        <v>40147.0</v>
      </c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30"/>
      <c r="T293" s="30"/>
      <c r="U293" s="30"/>
      <c r="V293" s="30"/>
      <c r="W293" s="30"/>
      <c r="X293" s="30"/>
      <c r="Y293" s="30"/>
      <c r="Z293" s="30"/>
    </row>
    <row r="294" ht="51.0" customHeight="1">
      <c r="A294" s="135" t="s">
        <v>766</v>
      </c>
      <c r="B294" s="136" t="s">
        <v>2803</v>
      </c>
      <c r="C294" s="137" t="s">
        <v>767</v>
      </c>
      <c r="D294" s="137" t="s">
        <v>768</v>
      </c>
      <c r="E294" s="137" t="s">
        <v>769</v>
      </c>
      <c r="F294" s="137" t="s">
        <v>88</v>
      </c>
      <c r="G294" s="138">
        <v>39881.0</v>
      </c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30"/>
      <c r="T294" s="30"/>
      <c r="U294" s="30"/>
      <c r="V294" s="30"/>
      <c r="W294" s="30"/>
      <c r="X294" s="30"/>
      <c r="Y294" s="30"/>
      <c r="Z294" s="30"/>
    </row>
    <row r="295" ht="38.25" customHeight="1">
      <c r="A295" s="139" t="s">
        <v>770</v>
      </c>
      <c r="B295" s="119" t="s">
        <v>2804</v>
      </c>
      <c r="C295" s="38" t="s">
        <v>61</v>
      </c>
      <c r="D295" s="38" t="s">
        <v>771</v>
      </c>
      <c r="E295" s="38" t="s">
        <v>772</v>
      </c>
      <c r="F295" s="38" t="s">
        <v>184</v>
      </c>
      <c r="G295" s="140">
        <v>39882.0</v>
      </c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30"/>
      <c r="T295" s="30"/>
      <c r="U295" s="30"/>
      <c r="V295" s="30"/>
      <c r="W295" s="30"/>
      <c r="X295" s="30"/>
      <c r="Y295" s="30"/>
      <c r="Z295" s="30"/>
    </row>
    <row r="296" ht="51.0" customHeight="1">
      <c r="A296" s="135" t="s">
        <v>773</v>
      </c>
      <c r="B296" s="136" t="s">
        <v>2805</v>
      </c>
      <c r="C296" s="137" t="s">
        <v>61</v>
      </c>
      <c r="D296" s="137" t="s">
        <v>774</v>
      </c>
      <c r="E296" s="137" t="s">
        <v>775</v>
      </c>
      <c r="F296" s="137" t="s">
        <v>16</v>
      </c>
      <c r="G296" s="138">
        <v>40147.0</v>
      </c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30"/>
      <c r="T296" s="30"/>
      <c r="U296" s="30"/>
      <c r="V296" s="30"/>
      <c r="W296" s="30"/>
      <c r="X296" s="30"/>
      <c r="Y296" s="30"/>
      <c r="Z296" s="30"/>
    </row>
    <row r="297" ht="38.25" customHeight="1">
      <c r="A297" s="139" t="s">
        <v>776</v>
      </c>
      <c r="B297" s="119" t="s">
        <v>2806</v>
      </c>
      <c r="C297" s="38" t="s">
        <v>301</v>
      </c>
      <c r="D297" s="38" t="s">
        <v>777</v>
      </c>
      <c r="E297" s="38" t="s">
        <v>778</v>
      </c>
      <c r="F297" s="38" t="s">
        <v>779</v>
      </c>
      <c r="G297" s="140">
        <v>40045.0</v>
      </c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30"/>
      <c r="T297" s="30"/>
      <c r="U297" s="30"/>
      <c r="V297" s="30"/>
      <c r="W297" s="30"/>
      <c r="X297" s="30"/>
      <c r="Y297" s="30"/>
      <c r="Z297" s="30"/>
    </row>
    <row r="298" ht="42.75" customHeight="1">
      <c r="A298" s="135" t="s">
        <v>780</v>
      </c>
      <c r="B298" s="136" t="s">
        <v>2807</v>
      </c>
      <c r="C298" s="137" t="s">
        <v>23</v>
      </c>
      <c r="D298" s="137" t="s">
        <v>781</v>
      </c>
      <c r="E298" s="137" t="s">
        <v>782</v>
      </c>
      <c r="F298" s="137" t="s">
        <v>26</v>
      </c>
      <c r="G298" s="138">
        <v>40039.0</v>
      </c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30"/>
      <c r="T298" s="30"/>
      <c r="U298" s="30"/>
      <c r="V298" s="30"/>
      <c r="W298" s="30"/>
      <c r="X298" s="30"/>
      <c r="Y298" s="30"/>
      <c r="Z298" s="30"/>
    </row>
    <row r="299" ht="42.75" customHeight="1">
      <c r="A299" s="139" t="s">
        <v>783</v>
      </c>
      <c r="B299" s="119" t="s">
        <v>2808</v>
      </c>
      <c r="C299" s="38" t="s">
        <v>61</v>
      </c>
      <c r="D299" s="38" t="s">
        <v>784</v>
      </c>
      <c r="E299" s="38" t="s">
        <v>785</v>
      </c>
      <c r="F299" s="38" t="s">
        <v>114</v>
      </c>
      <c r="G299" s="140">
        <v>39876.0</v>
      </c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30"/>
      <c r="T299" s="30"/>
      <c r="U299" s="30"/>
      <c r="V299" s="30"/>
      <c r="W299" s="30"/>
      <c r="X299" s="30"/>
      <c r="Y299" s="30"/>
      <c r="Z299" s="30"/>
    </row>
    <row r="300" ht="42.75" customHeight="1">
      <c r="A300" s="135" t="s">
        <v>786</v>
      </c>
      <c r="B300" s="136" t="s">
        <v>2809</v>
      </c>
      <c r="C300" s="137" t="s">
        <v>18</v>
      </c>
      <c r="D300" s="137" t="s">
        <v>787</v>
      </c>
      <c r="E300" s="137" t="s">
        <v>788</v>
      </c>
      <c r="F300" s="137" t="s">
        <v>356</v>
      </c>
      <c r="G300" s="138">
        <v>40014.0</v>
      </c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30"/>
      <c r="T300" s="30"/>
      <c r="U300" s="30"/>
      <c r="V300" s="30"/>
      <c r="W300" s="30"/>
      <c r="X300" s="30"/>
      <c r="Y300" s="30"/>
      <c r="Z300" s="30"/>
    </row>
    <row r="301" ht="63.75" customHeight="1">
      <c r="A301" s="139" t="s">
        <v>789</v>
      </c>
      <c r="B301" s="119" t="s">
        <v>2810</v>
      </c>
      <c r="C301" s="38" t="s">
        <v>33</v>
      </c>
      <c r="D301" s="38" t="s">
        <v>790</v>
      </c>
      <c r="E301" s="38" t="s">
        <v>791</v>
      </c>
      <c r="F301" s="38" t="s">
        <v>68</v>
      </c>
      <c r="G301" s="140">
        <v>40170.0</v>
      </c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30"/>
      <c r="T301" s="30"/>
      <c r="U301" s="30"/>
      <c r="V301" s="30"/>
      <c r="W301" s="30"/>
      <c r="X301" s="30"/>
      <c r="Y301" s="30"/>
      <c r="Z301" s="30"/>
    </row>
    <row r="302" ht="51.0" customHeight="1">
      <c r="A302" s="135" t="s">
        <v>792</v>
      </c>
      <c r="B302" s="136" t="s">
        <v>2811</v>
      </c>
      <c r="C302" s="137" t="s">
        <v>33</v>
      </c>
      <c r="D302" s="137" t="s">
        <v>793</v>
      </c>
      <c r="E302" s="137" t="s">
        <v>794</v>
      </c>
      <c r="F302" s="137" t="s">
        <v>68</v>
      </c>
      <c r="G302" s="138">
        <v>39878.0</v>
      </c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30"/>
      <c r="T302" s="30"/>
      <c r="U302" s="30"/>
      <c r="V302" s="30"/>
      <c r="W302" s="30"/>
      <c r="X302" s="30"/>
      <c r="Y302" s="30"/>
      <c r="Z302" s="30"/>
    </row>
    <row r="303" ht="38.25" customHeight="1">
      <c r="A303" s="139" t="s">
        <v>795</v>
      </c>
      <c r="B303" s="119" t="s">
        <v>2812</v>
      </c>
      <c r="C303" s="38" t="s">
        <v>167</v>
      </c>
      <c r="D303" s="38" t="s">
        <v>796</v>
      </c>
      <c r="E303" s="38" t="s">
        <v>797</v>
      </c>
      <c r="F303" s="38" t="s">
        <v>540</v>
      </c>
      <c r="G303" s="140">
        <v>40038.0</v>
      </c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30"/>
      <c r="T303" s="30"/>
      <c r="U303" s="30"/>
      <c r="V303" s="30"/>
      <c r="W303" s="30"/>
      <c r="X303" s="30"/>
      <c r="Y303" s="30"/>
      <c r="Z303" s="30"/>
    </row>
    <row r="304" ht="57.0" customHeight="1">
      <c r="A304" s="135" t="s">
        <v>798</v>
      </c>
      <c r="B304" s="136" t="s">
        <v>2813</v>
      </c>
      <c r="C304" s="137" t="s">
        <v>23</v>
      </c>
      <c r="D304" s="137" t="s">
        <v>799</v>
      </c>
      <c r="E304" s="137" t="s">
        <v>800</v>
      </c>
      <c r="F304" s="137" t="s">
        <v>184</v>
      </c>
      <c r="G304" s="138">
        <v>39881.0</v>
      </c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30"/>
      <c r="T304" s="30"/>
      <c r="U304" s="30"/>
      <c r="V304" s="30"/>
      <c r="W304" s="30"/>
      <c r="X304" s="30"/>
      <c r="Y304" s="30"/>
      <c r="Z304" s="30"/>
    </row>
    <row r="305" ht="51.0" customHeight="1">
      <c r="A305" s="139" t="s">
        <v>801</v>
      </c>
      <c r="B305" s="119" t="s">
        <v>2814</v>
      </c>
      <c r="C305" s="38" t="s">
        <v>301</v>
      </c>
      <c r="D305" s="38" t="s">
        <v>802</v>
      </c>
      <c r="E305" s="38" t="s">
        <v>803</v>
      </c>
      <c r="F305" s="38" t="s">
        <v>68</v>
      </c>
      <c r="G305" s="140">
        <v>40045.0</v>
      </c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30"/>
      <c r="T305" s="30"/>
      <c r="U305" s="30"/>
      <c r="V305" s="30"/>
      <c r="W305" s="30"/>
      <c r="X305" s="30"/>
      <c r="Y305" s="30"/>
      <c r="Z305" s="30"/>
    </row>
    <row r="306" ht="42.75" customHeight="1">
      <c r="A306" s="135" t="s">
        <v>804</v>
      </c>
      <c r="B306" s="136" t="s">
        <v>2815</v>
      </c>
      <c r="C306" s="137" t="s">
        <v>167</v>
      </c>
      <c r="D306" s="137" t="s">
        <v>805</v>
      </c>
      <c r="E306" s="137" t="s">
        <v>806</v>
      </c>
      <c r="F306" s="137" t="s">
        <v>170</v>
      </c>
      <c r="G306" s="138">
        <v>40037.0</v>
      </c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30"/>
      <c r="T306" s="30"/>
      <c r="U306" s="30"/>
      <c r="V306" s="30"/>
      <c r="W306" s="30"/>
      <c r="X306" s="30"/>
      <c r="Y306" s="30"/>
      <c r="Z306" s="30"/>
    </row>
    <row r="307" ht="42.75" customHeight="1">
      <c r="A307" s="139" t="s">
        <v>807</v>
      </c>
      <c r="B307" s="119" t="s">
        <v>2816</v>
      </c>
      <c r="C307" s="38" t="s">
        <v>33</v>
      </c>
      <c r="D307" s="38" t="s">
        <v>808</v>
      </c>
      <c r="E307" s="38" t="s">
        <v>809</v>
      </c>
      <c r="F307" s="38" t="s">
        <v>36</v>
      </c>
      <c r="G307" s="140">
        <v>40170.0</v>
      </c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30"/>
      <c r="T307" s="30"/>
      <c r="U307" s="30"/>
      <c r="V307" s="30"/>
      <c r="W307" s="30"/>
      <c r="X307" s="30"/>
      <c r="Y307" s="30"/>
      <c r="Z307" s="30"/>
    </row>
    <row r="308" ht="63.75" customHeight="1">
      <c r="A308" s="135" t="s">
        <v>810</v>
      </c>
      <c r="B308" s="136" t="s">
        <v>2817</v>
      </c>
      <c r="C308" s="137" t="s">
        <v>61</v>
      </c>
      <c r="D308" s="137" t="s">
        <v>811</v>
      </c>
      <c r="E308" s="137" t="s">
        <v>812</v>
      </c>
      <c r="F308" s="137" t="s">
        <v>685</v>
      </c>
      <c r="G308" s="138">
        <v>40247.0</v>
      </c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30"/>
      <c r="T308" s="30"/>
      <c r="U308" s="30"/>
      <c r="V308" s="30"/>
      <c r="W308" s="30"/>
      <c r="X308" s="30"/>
      <c r="Y308" s="30"/>
      <c r="Z308" s="30"/>
    </row>
    <row r="309" ht="51.0" customHeight="1">
      <c r="A309" s="139" t="s">
        <v>813</v>
      </c>
      <c r="B309" s="119" t="s">
        <v>2818</v>
      </c>
      <c r="C309" s="38" t="s">
        <v>814</v>
      </c>
      <c r="D309" s="38" t="s">
        <v>815</v>
      </c>
      <c r="E309" s="38" t="s">
        <v>816</v>
      </c>
      <c r="F309" s="38" t="s">
        <v>147</v>
      </c>
      <c r="G309" s="140">
        <v>40031.0</v>
      </c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30"/>
      <c r="T309" s="30"/>
      <c r="U309" s="30"/>
      <c r="V309" s="30"/>
      <c r="W309" s="30"/>
      <c r="X309" s="30"/>
      <c r="Y309" s="30"/>
      <c r="Z309" s="30"/>
    </row>
    <row r="310" ht="51.0" customHeight="1">
      <c r="A310" s="135" t="s">
        <v>817</v>
      </c>
      <c r="B310" s="136" t="s">
        <v>2819</v>
      </c>
      <c r="C310" s="137" t="s">
        <v>61</v>
      </c>
      <c r="D310" s="137" t="s">
        <v>818</v>
      </c>
      <c r="E310" s="137" t="s">
        <v>819</v>
      </c>
      <c r="F310" s="137" t="s">
        <v>527</v>
      </c>
      <c r="G310" s="138">
        <v>40147.0</v>
      </c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30"/>
      <c r="T310" s="30"/>
      <c r="U310" s="30"/>
      <c r="V310" s="30"/>
      <c r="W310" s="30"/>
      <c r="X310" s="30"/>
      <c r="Y310" s="30"/>
      <c r="Z310" s="30"/>
    </row>
    <row r="311" ht="42.75" customHeight="1">
      <c r="A311" s="139" t="s">
        <v>820</v>
      </c>
      <c r="B311" s="119" t="s">
        <v>2820</v>
      </c>
      <c r="C311" s="38" t="s">
        <v>43</v>
      </c>
      <c r="D311" s="38"/>
      <c r="E311" s="38" t="s">
        <v>821</v>
      </c>
      <c r="F311" s="38" t="s">
        <v>729</v>
      </c>
      <c r="G311" s="140">
        <v>39874.0</v>
      </c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30"/>
      <c r="T311" s="30"/>
      <c r="U311" s="30"/>
      <c r="V311" s="30"/>
      <c r="W311" s="30"/>
      <c r="X311" s="30"/>
      <c r="Y311" s="30"/>
      <c r="Z311" s="30"/>
    </row>
    <row r="312" ht="51.0" customHeight="1">
      <c r="A312" s="180"/>
      <c r="B312" s="171" t="s">
        <v>2821</v>
      </c>
      <c r="C312" s="172" t="s">
        <v>167</v>
      </c>
      <c r="D312" s="172" t="s">
        <v>2822</v>
      </c>
      <c r="E312" s="172" t="s">
        <v>2823</v>
      </c>
      <c r="F312" s="172" t="s">
        <v>685</v>
      </c>
      <c r="G312" s="178">
        <v>40183.0</v>
      </c>
      <c r="H312" s="174" t="s">
        <v>2824</v>
      </c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39.0" customHeight="1">
      <c r="A313" s="194"/>
      <c r="B313" s="185" t="s">
        <v>2825</v>
      </c>
      <c r="C313" s="191"/>
      <c r="D313" s="191"/>
      <c r="E313" s="191" t="s">
        <v>2826</v>
      </c>
      <c r="F313" s="191"/>
      <c r="G313" s="195"/>
      <c r="H313" s="174" t="s">
        <v>2391</v>
      </c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51.0" customHeight="1">
      <c r="A314" s="131" t="s">
        <v>822</v>
      </c>
      <c r="B314" s="132" t="s">
        <v>2827</v>
      </c>
      <c r="C314" s="133" t="s">
        <v>33</v>
      </c>
      <c r="D314" s="133" t="s">
        <v>823</v>
      </c>
      <c r="E314" s="133" t="s">
        <v>824</v>
      </c>
      <c r="F314" s="133" t="s">
        <v>64</v>
      </c>
      <c r="G314" s="134">
        <v>40384.0</v>
      </c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30"/>
      <c r="T314" s="30"/>
      <c r="U314" s="30"/>
      <c r="V314" s="30"/>
      <c r="W314" s="30"/>
      <c r="X314" s="30"/>
      <c r="Y314" s="30"/>
      <c r="Z314" s="30"/>
    </row>
    <row r="315" ht="51.0" customHeight="1">
      <c r="A315" s="135" t="s">
        <v>825</v>
      </c>
      <c r="B315" s="136" t="s">
        <v>2828</v>
      </c>
      <c r="C315" s="137" t="s">
        <v>61</v>
      </c>
      <c r="D315" s="137" t="s">
        <v>826</v>
      </c>
      <c r="E315" s="137" t="s">
        <v>827</v>
      </c>
      <c r="F315" s="137" t="s">
        <v>147</v>
      </c>
      <c r="G315" s="138">
        <v>40196.0</v>
      </c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30"/>
      <c r="T315" s="30"/>
      <c r="U315" s="30"/>
      <c r="V315" s="30"/>
      <c r="W315" s="30"/>
      <c r="X315" s="30"/>
      <c r="Y315" s="30"/>
      <c r="Z315" s="30"/>
    </row>
    <row r="316" ht="51.0" customHeight="1">
      <c r="A316" s="139" t="s">
        <v>828</v>
      </c>
      <c r="B316" s="119" t="s">
        <v>2829</v>
      </c>
      <c r="C316" s="38" t="s">
        <v>380</v>
      </c>
      <c r="D316" s="38" t="s">
        <v>829</v>
      </c>
      <c r="E316" s="38" t="s">
        <v>830</v>
      </c>
      <c r="F316" s="38" t="s">
        <v>540</v>
      </c>
      <c r="G316" s="140">
        <v>40578.0</v>
      </c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30"/>
      <c r="T316" s="30"/>
      <c r="U316" s="30"/>
      <c r="V316" s="30"/>
      <c r="W316" s="30"/>
      <c r="X316" s="30"/>
      <c r="Y316" s="30"/>
      <c r="Z316" s="30"/>
    </row>
    <row r="317" ht="42.75" customHeight="1">
      <c r="A317" s="135" t="s">
        <v>831</v>
      </c>
      <c r="B317" s="136" t="s">
        <v>2830</v>
      </c>
      <c r="C317" s="137" t="s">
        <v>33</v>
      </c>
      <c r="D317" s="137" t="s">
        <v>832</v>
      </c>
      <c r="E317" s="137" t="s">
        <v>833</v>
      </c>
      <c r="F317" s="137" t="s">
        <v>147</v>
      </c>
      <c r="G317" s="138">
        <v>40388.0</v>
      </c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30"/>
      <c r="T317" s="30"/>
      <c r="U317" s="30"/>
      <c r="V317" s="30"/>
      <c r="W317" s="30"/>
      <c r="X317" s="30"/>
      <c r="Y317" s="30"/>
      <c r="Z317" s="30"/>
    </row>
    <row r="318" ht="63.75" customHeight="1">
      <c r="A318" s="139" t="s">
        <v>834</v>
      </c>
      <c r="B318" s="119" t="s">
        <v>2831</v>
      </c>
      <c r="C318" s="38" t="s">
        <v>276</v>
      </c>
      <c r="D318" s="38" t="s">
        <v>835</v>
      </c>
      <c r="E318" s="38" t="s">
        <v>836</v>
      </c>
      <c r="F318" s="38" t="s">
        <v>16</v>
      </c>
      <c r="G318" s="140">
        <v>40379.0</v>
      </c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30"/>
      <c r="T318" s="30"/>
      <c r="U318" s="30"/>
      <c r="V318" s="30"/>
      <c r="W318" s="30"/>
      <c r="X318" s="30"/>
      <c r="Y318" s="30"/>
      <c r="Z318" s="30"/>
    </row>
    <row r="319" ht="38.25" customHeight="1">
      <c r="A319" s="135" t="s">
        <v>837</v>
      </c>
      <c r="B319" s="136" t="s">
        <v>2832</v>
      </c>
      <c r="C319" s="137" t="s">
        <v>137</v>
      </c>
      <c r="D319" s="137" t="s">
        <v>838</v>
      </c>
      <c r="E319" s="137" t="s">
        <v>839</v>
      </c>
      <c r="F319" s="137" t="s">
        <v>447</v>
      </c>
      <c r="G319" s="138">
        <v>40231.0</v>
      </c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30"/>
      <c r="T319" s="30"/>
      <c r="U319" s="30"/>
      <c r="V319" s="30"/>
      <c r="W319" s="30"/>
      <c r="X319" s="30"/>
      <c r="Y319" s="30"/>
      <c r="Z319" s="30"/>
    </row>
    <row r="320" ht="51.0" customHeight="1">
      <c r="A320" s="139" t="s">
        <v>840</v>
      </c>
      <c r="B320" s="119" t="s">
        <v>2833</v>
      </c>
      <c r="C320" s="38" t="s">
        <v>43</v>
      </c>
      <c r="D320" s="38" t="s">
        <v>841</v>
      </c>
      <c r="E320" s="38" t="s">
        <v>842</v>
      </c>
      <c r="F320" s="38" t="s">
        <v>64</v>
      </c>
      <c r="G320" s="140">
        <v>40533.0</v>
      </c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30"/>
      <c r="T320" s="30"/>
      <c r="U320" s="30"/>
      <c r="V320" s="30"/>
      <c r="W320" s="30"/>
      <c r="X320" s="30"/>
      <c r="Y320" s="30"/>
      <c r="Z320" s="30"/>
    </row>
    <row r="321" ht="51.0" customHeight="1">
      <c r="A321" s="135" t="s">
        <v>843</v>
      </c>
      <c r="B321" s="136" t="s">
        <v>2834</v>
      </c>
      <c r="C321" s="137" t="s">
        <v>61</v>
      </c>
      <c r="D321" s="137" t="s">
        <v>844</v>
      </c>
      <c r="E321" s="137" t="s">
        <v>845</v>
      </c>
      <c r="F321" s="137" t="s">
        <v>184</v>
      </c>
      <c r="G321" s="138">
        <v>40234.0</v>
      </c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30"/>
      <c r="T321" s="30"/>
      <c r="U321" s="30"/>
      <c r="V321" s="30"/>
      <c r="W321" s="30"/>
      <c r="X321" s="30"/>
      <c r="Y321" s="30"/>
      <c r="Z321" s="30"/>
    </row>
    <row r="322" ht="42.75" customHeight="1">
      <c r="A322" s="139" t="s">
        <v>846</v>
      </c>
      <c r="B322" s="119" t="s">
        <v>2835</v>
      </c>
      <c r="C322" s="38" t="s">
        <v>116</v>
      </c>
      <c r="D322" s="38" t="s">
        <v>847</v>
      </c>
      <c r="E322" s="38" t="s">
        <v>848</v>
      </c>
      <c r="F322" s="38" t="s">
        <v>613</v>
      </c>
      <c r="G322" s="140">
        <v>40234.0</v>
      </c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30"/>
      <c r="T322" s="30"/>
      <c r="U322" s="30"/>
      <c r="V322" s="30"/>
      <c r="W322" s="30"/>
      <c r="X322" s="30"/>
      <c r="Y322" s="30"/>
      <c r="Z322" s="30"/>
    </row>
    <row r="323" ht="51.0" customHeight="1">
      <c r="A323" s="135" t="s">
        <v>849</v>
      </c>
      <c r="B323" s="136" t="s">
        <v>2836</v>
      </c>
      <c r="C323" s="137" t="s">
        <v>47</v>
      </c>
      <c r="D323" s="137" t="s">
        <v>850</v>
      </c>
      <c r="E323" s="137" t="s">
        <v>851</v>
      </c>
      <c r="F323" s="137" t="s">
        <v>73</v>
      </c>
      <c r="G323" s="138">
        <v>40183.0</v>
      </c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30"/>
      <c r="T323" s="30"/>
      <c r="U323" s="30"/>
      <c r="V323" s="30"/>
      <c r="W323" s="30"/>
      <c r="X323" s="30"/>
      <c r="Y323" s="30"/>
      <c r="Z323" s="30"/>
    </row>
    <row r="324" ht="38.25" customHeight="1">
      <c r="A324" s="139" t="s">
        <v>852</v>
      </c>
      <c r="B324" s="119" t="s">
        <v>2837</v>
      </c>
      <c r="C324" s="38" t="s">
        <v>47</v>
      </c>
      <c r="D324" s="38" t="s">
        <v>853</v>
      </c>
      <c r="E324" s="38" t="s">
        <v>854</v>
      </c>
      <c r="F324" s="38" t="s">
        <v>73</v>
      </c>
      <c r="G324" s="140">
        <v>40571.0</v>
      </c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30"/>
      <c r="T324" s="30"/>
      <c r="U324" s="30"/>
      <c r="V324" s="30"/>
      <c r="W324" s="30"/>
      <c r="X324" s="30"/>
      <c r="Y324" s="30"/>
      <c r="Z324" s="30"/>
    </row>
    <row r="325" ht="38.25" customHeight="1">
      <c r="A325" s="135" t="s">
        <v>855</v>
      </c>
      <c r="B325" s="136" t="s">
        <v>2838</v>
      </c>
      <c r="C325" s="137" t="s">
        <v>116</v>
      </c>
      <c r="D325" s="137" t="s">
        <v>856</v>
      </c>
      <c r="E325" s="137" t="s">
        <v>857</v>
      </c>
      <c r="F325" s="137" t="s">
        <v>73</v>
      </c>
      <c r="G325" s="138">
        <v>40209.0</v>
      </c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30"/>
      <c r="T325" s="30"/>
      <c r="U325" s="30"/>
      <c r="V325" s="30"/>
      <c r="W325" s="30"/>
      <c r="X325" s="30"/>
      <c r="Y325" s="30"/>
      <c r="Z325" s="30"/>
    </row>
    <row r="326" ht="38.25" customHeight="1">
      <c r="A326" s="139" t="s">
        <v>858</v>
      </c>
      <c r="B326" s="119" t="s">
        <v>2839</v>
      </c>
      <c r="C326" s="38" t="s">
        <v>47</v>
      </c>
      <c r="D326" s="38" t="s">
        <v>859</v>
      </c>
      <c r="E326" s="38" t="s">
        <v>860</v>
      </c>
      <c r="F326" s="38" t="s">
        <v>861</v>
      </c>
      <c r="G326" s="140">
        <v>40585.0</v>
      </c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30"/>
      <c r="T326" s="30"/>
      <c r="U326" s="30"/>
      <c r="V326" s="30"/>
      <c r="W326" s="30"/>
      <c r="X326" s="30"/>
      <c r="Y326" s="30"/>
      <c r="Z326" s="30"/>
    </row>
    <row r="327" ht="51.0" customHeight="1">
      <c r="A327" s="135" t="s">
        <v>862</v>
      </c>
      <c r="B327" s="136" t="s">
        <v>2840</v>
      </c>
      <c r="C327" s="137" t="s">
        <v>13</v>
      </c>
      <c r="D327" s="137" t="s">
        <v>863</v>
      </c>
      <c r="E327" s="137" t="s">
        <v>864</v>
      </c>
      <c r="F327" s="137" t="s">
        <v>147</v>
      </c>
      <c r="G327" s="138">
        <v>40585.0</v>
      </c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30"/>
      <c r="T327" s="30"/>
      <c r="U327" s="30"/>
      <c r="V327" s="30"/>
      <c r="W327" s="30"/>
      <c r="X327" s="30"/>
      <c r="Y327" s="30"/>
      <c r="Z327" s="30"/>
    </row>
    <row r="328" ht="38.25" customHeight="1">
      <c r="A328" s="139" t="s">
        <v>865</v>
      </c>
      <c r="B328" s="119" t="s">
        <v>2841</v>
      </c>
      <c r="C328" s="38" t="s">
        <v>47</v>
      </c>
      <c r="D328" s="38" t="s">
        <v>2842</v>
      </c>
      <c r="E328" s="38" t="s">
        <v>867</v>
      </c>
      <c r="F328" s="38" t="s">
        <v>861</v>
      </c>
      <c r="G328" s="140">
        <v>40235.0</v>
      </c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30"/>
      <c r="T328" s="30"/>
      <c r="U328" s="30"/>
      <c r="V328" s="30"/>
      <c r="W328" s="30"/>
      <c r="X328" s="30"/>
      <c r="Y328" s="30"/>
      <c r="Z328" s="30"/>
    </row>
    <row r="329" ht="51.0" customHeight="1">
      <c r="A329" s="135" t="s">
        <v>868</v>
      </c>
      <c r="B329" s="136" t="s">
        <v>2843</v>
      </c>
      <c r="C329" s="137" t="s">
        <v>116</v>
      </c>
      <c r="D329" s="137" t="s">
        <v>869</v>
      </c>
      <c r="E329" s="137" t="s">
        <v>870</v>
      </c>
      <c r="F329" s="137" t="s">
        <v>861</v>
      </c>
      <c r="G329" s="138">
        <v>40233.0</v>
      </c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30"/>
      <c r="T329" s="30"/>
      <c r="U329" s="30"/>
      <c r="V329" s="30"/>
      <c r="W329" s="30"/>
      <c r="X329" s="30"/>
      <c r="Y329" s="30"/>
      <c r="Z329" s="30"/>
    </row>
    <row r="330" ht="51.0" customHeight="1">
      <c r="A330" s="139" t="s">
        <v>871</v>
      </c>
      <c r="B330" s="119" t="s">
        <v>2844</v>
      </c>
      <c r="C330" s="38" t="s">
        <v>18</v>
      </c>
      <c r="D330" s="38" t="s">
        <v>872</v>
      </c>
      <c r="E330" s="38" t="s">
        <v>873</v>
      </c>
      <c r="F330" s="38" t="s">
        <v>147</v>
      </c>
      <c r="G330" s="140">
        <v>40386.0</v>
      </c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30"/>
      <c r="T330" s="30"/>
      <c r="U330" s="30"/>
      <c r="V330" s="30"/>
      <c r="W330" s="30"/>
      <c r="X330" s="30"/>
      <c r="Y330" s="30"/>
      <c r="Z330" s="30"/>
    </row>
    <row r="331" ht="42.75" customHeight="1">
      <c r="A331" s="135" t="s">
        <v>874</v>
      </c>
      <c r="B331" s="136" t="s">
        <v>2845</v>
      </c>
      <c r="C331" s="137" t="s">
        <v>410</v>
      </c>
      <c r="D331" s="137" t="s">
        <v>875</v>
      </c>
      <c r="E331" s="137" t="s">
        <v>876</v>
      </c>
      <c r="F331" s="137" t="s">
        <v>356</v>
      </c>
      <c r="G331" s="138">
        <v>40217.0</v>
      </c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30"/>
      <c r="T331" s="30"/>
      <c r="U331" s="30"/>
      <c r="V331" s="30"/>
      <c r="W331" s="30"/>
      <c r="X331" s="30"/>
      <c r="Y331" s="30"/>
      <c r="Z331" s="30"/>
    </row>
    <row r="332" ht="42.75" customHeight="1">
      <c r="A332" s="139" t="s">
        <v>877</v>
      </c>
      <c r="B332" s="119" t="s">
        <v>2846</v>
      </c>
      <c r="C332" s="38" t="s">
        <v>13</v>
      </c>
      <c r="D332" s="38" t="s">
        <v>878</v>
      </c>
      <c r="E332" s="38" t="s">
        <v>879</v>
      </c>
      <c r="F332" s="38" t="s">
        <v>147</v>
      </c>
      <c r="G332" s="140">
        <v>40246.0</v>
      </c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30"/>
      <c r="T332" s="30"/>
      <c r="U332" s="30"/>
      <c r="V332" s="30"/>
      <c r="W332" s="30"/>
      <c r="X332" s="30"/>
      <c r="Y332" s="30"/>
      <c r="Z332" s="30"/>
    </row>
    <row r="333" ht="51.0" customHeight="1">
      <c r="A333" s="135" t="s">
        <v>880</v>
      </c>
      <c r="B333" s="136" t="s">
        <v>2847</v>
      </c>
      <c r="C333" s="137" t="s">
        <v>137</v>
      </c>
      <c r="D333" s="137" t="s">
        <v>881</v>
      </c>
      <c r="E333" s="137" t="s">
        <v>882</v>
      </c>
      <c r="F333" s="137" t="s">
        <v>685</v>
      </c>
      <c r="G333" s="138">
        <v>40248.0</v>
      </c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30"/>
      <c r="T333" s="30"/>
      <c r="U333" s="30"/>
      <c r="V333" s="30"/>
      <c r="W333" s="30"/>
      <c r="X333" s="30"/>
      <c r="Y333" s="30"/>
      <c r="Z333" s="30"/>
    </row>
    <row r="334" ht="42.75" customHeight="1">
      <c r="A334" s="139" t="s">
        <v>883</v>
      </c>
      <c r="B334" s="119" t="s">
        <v>2848</v>
      </c>
      <c r="C334" s="38" t="s">
        <v>96</v>
      </c>
      <c r="D334" s="38" t="s">
        <v>884</v>
      </c>
      <c r="E334" s="38" t="s">
        <v>885</v>
      </c>
      <c r="F334" s="38" t="s">
        <v>685</v>
      </c>
      <c r="G334" s="140">
        <v>40533.0</v>
      </c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30"/>
      <c r="T334" s="30"/>
      <c r="U334" s="30"/>
      <c r="V334" s="30"/>
      <c r="W334" s="30"/>
      <c r="X334" s="30"/>
      <c r="Y334" s="30"/>
      <c r="Z334" s="30"/>
    </row>
    <row r="335" ht="42.75" customHeight="1">
      <c r="A335" s="135" t="s">
        <v>886</v>
      </c>
      <c r="B335" s="136" t="s">
        <v>2849</v>
      </c>
      <c r="C335" s="137" t="s">
        <v>338</v>
      </c>
      <c r="D335" s="137" t="s">
        <v>887</v>
      </c>
      <c r="E335" s="137" t="s">
        <v>888</v>
      </c>
      <c r="F335" s="137" t="s">
        <v>613</v>
      </c>
      <c r="G335" s="138">
        <v>40232.0</v>
      </c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30"/>
      <c r="T335" s="30"/>
      <c r="U335" s="30"/>
      <c r="V335" s="30"/>
      <c r="W335" s="30"/>
      <c r="X335" s="30"/>
      <c r="Y335" s="30"/>
      <c r="Z335" s="30"/>
    </row>
    <row r="336" ht="42.75" customHeight="1">
      <c r="A336" s="139" t="s">
        <v>889</v>
      </c>
      <c r="B336" s="119" t="s">
        <v>2850</v>
      </c>
      <c r="C336" s="38" t="s">
        <v>13</v>
      </c>
      <c r="D336" s="38" t="s">
        <v>890</v>
      </c>
      <c r="E336" s="38" t="s">
        <v>891</v>
      </c>
      <c r="F336" s="38" t="s">
        <v>540</v>
      </c>
      <c r="G336" s="140">
        <v>40534.0</v>
      </c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30"/>
      <c r="T336" s="30"/>
      <c r="U336" s="30"/>
      <c r="V336" s="30"/>
      <c r="W336" s="30"/>
      <c r="X336" s="30"/>
      <c r="Y336" s="30"/>
      <c r="Z336" s="30"/>
    </row>
    <row r="337" ht="42.75" customHeight="1">
      <c r="A337" s="135" t="s">
        <v>892</v>
      </c>
      <c r="B337" s="136" t="s">
        <v>2851</v>
      </c>
      <c r="C337" s="137" t="s">
        <v>116</v>
      </c>
      <c r="D337" s="137" t="s">
        <v>893</v>
      </c>
      <c r="E337" s="137" t="s">
        <v>894</v>
      </c>
      <c r="F337" s="137" t="s">
        <v>895</v>
      </c>
      <c r="G337" s="138">
        <v>40584.0</v>
      </c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30"/>
      <c r="T337" s="30"/>
      <c r="U337" s="30"/>
      <c r="V337" s="30"/>
      <c r="W337" s="30"/>
      <c r="X337" s="30"/>
      <c r="Y337" s="30"/>
      <c r="Z337" s="30"/>
    </row>
    <row r="338" ht="57.0" customHeight="1">
      <c r="A338" s="139" t="s">
        <v>896</v>
      </c>
      <c r="B338" s="119" t="s">
        <v>2852</v>
      </c>
      <c r="C338" s="38" t="s">
        <v>52</v>
      </c>
      <c r="D338" s="38" t="s">
        <v>897</v>
      </c>
      <c r="E338" s="38" t="s">
        <v>898</v>
      </c>
      <c r="F338" s="38" t="s">
        <v>473</v>
      </c>
      <c r="G338" s="140">
        <v>40235.0</v>
      </c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30"/>
      <c r="T338" s="30"/>
      <c r="U338" s="30"/>
      <c r="V338" s="30"/>
      <c r="W338" s="30"/>
      <c r="X338" s="30"/>
      <c r="Y338" s="30"/>
      <c r="Z338" s="30"/>
    </row>
    <row r="339" ht="51.0" customHeight="1">
      <c r="A339" s="135" t="s">
        <v>899</v>
      </c>
      <c r="B339" s="136" t="s">
        <v>2853</v>
      </c>
      <c r="C339" s="137" t="s">
        <v>18</v>
      </c>
      <c r="D339" s="137" t="s">
        <v>900</v>
      </c>
      <c r="E339" s="137" t="s">
        <v>901</v>
      </c>
      <c r="F339" s="137" t="s">
        <v>64</v>
      </c>
      <c r="G339" s="138">
        <v>40532.0</v>
      </c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30"/>
      <c r="T339" s="30"/>
      <c r="U339" s="30"/>
      <c r="V339" s="30"/>
      <c r="W339" s="30"/>
      <c r="X339" s="30"/>
      <c r="Y339" s="30"/>
      <c r="Z339" s="30"/>
    </row>
    <row r="340" ht="51.0" customHeight="1">
      <c r="A340" s="139" t="s">
        <v>902</v>
      </c>
      <c r="B340" s="119" t="s">
        <v>2854</v>
      </c>
      <c r="C340" s="38" t="s">
        <v>116</v>
      </c>
      <c r="D340" s="38" t="s">
        <v>903</v>
      </c>
      <c r="E340" s="38" t="s">
        <v>904</v>
      </c>
      <c r="F340" s="38" t="s">
        <v>861</v>
      </c>
      <c r="G340" s="140">
        <v>40232.0</v>
      </c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30"/>
      <c r="T340" s="30"/>
      <c r="U340" s="30"/>
      <c r="V340" s="30"/>
      <c r="W340" s="30"/>
      <c r="X340" s="30"/>
      <c r="Y340" s="30"/>
      <c r="Z340" s="30"/>
    </row>
    <row r="341" ht="51.0" customHeight="1">
      <c r="A341" s="135" t="s">
        <v>905</v>
      </c>
      <c r="B341" s="136" t="s">
        <v>2855</v>
      </c>
      <c r="C341" s="137" t="s">
        <v>116</v>
      </c>
      <c r="D341" s="137" t="s">
        <v>906</v>
      </c>
      <c r="E341" s="137" t="s">
        <v>907</v>
      </c>
      <c r="F341" s="137" t="s">
        <v>613</v>
      </c>
      <c r="G341" s="138">
        <v>40360.0</v>
      </c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30"/>
      <c r="T341" s="30"/>
      <c r="U341" s="30"/>
      <c r="V341" s="30"/>
      <c r="W341" s="30"/>
      <c r="X341" s="30"/>
      <c r="Y341" s="30"/>
      <c r="Z341" s="30"/>
    </row>
    <row r="342" ht="42.75" customHeight="1">
      <c r="A342" s="139" t="s">
        <v>908</v>
      </c>
      <c r="B342" s="119" t="s">
        <v>2856</v>
      </c>
      <c r="C342" s="38" t="s">
        <v>338</v>
      </c>
      <c r="D342" s="38" t="s">
        <v>909</v>
      </c>
      <c r="E342" s="38" t="s">
        <v>910</v>
      </c>
      <c r="F342" s="38" t="s">
        <v>861</v>
      </c>
      <c r="G342" s="140">
        <v>40233.0</v>
      </c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30"/>
      <c r="T342" s="30"/>
      <c r="U342" s="30"/>
      <c r="V342" s="30"/>
      <c r="W342" s="30"/>
      <c r="X342" s="30"/>
      <c r="Y342" s="30"/>
      <c r="Z342" s="30"/>
    </row>
    <row r="343" ht="42.75" customHeight="1">
      <c r="A343" s="135" t="s">
        <v>911</v>
      </c>
      <c r="B343" s="136" t="s">
        <v>2857</v>
      </c>
      <c r="C343" s="137" t="s">
        <v>47</v>
      </c>
      <c r="D343" s="137" t="s">
        <v>912</v>
      </c>
      <c r="E343" s="137" t="s">
        <v>913</v>
      </c>
      <c r="F343" s="137" t="s">
        <v>613</v>
      </c>
      <c r="G343" s="138">
        <v>40234.0</v>
      </c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30"/>
      <c r="T343" s="30"/>
      <c r="U343" s="30"/>
      <c r="V343" s="30"/>
      <c r="W343" s="30"/>
      <c r="X343" s="30"/>
      <c r="Y343" s="30"/>
      <c r="Z343" s="30"/>
    </row>
    <row r="344" ht="28.5" customHeight="1">
      <c r="A344" s="139" t="s">
        <v>914</v>
      </c>
      <c r="B344" s="119" t="s">
        <v>2858</v>
      </c>
      <c r="C344" s="38" t="s">
        <v>43</v>
      </c>
      <c r="D344" s="38" t="s">
        <v>915</v>
      </c>
      <c r="E344" s="38" t="s">
        <v>916</v>
      </c>
      <c r="F344" s="38" t="s">
        <v>73</v>
      </c>
      <c r="G344" s="140">
        <v>40571.0</v>
      </c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30"/>
      <c r="T344" s="30"/>
      <c r="U344" s="30"/>
      <c r="V344" s="30"/>
      <c r="W344" s="30"/>
      <c r="X344" s="30"/>
      <c r="Y344" s="30"/>
      <c r="Z344" s="30"/>
    </row>
    <row r="345" ht="51.0" customHeight="1">
      <c r="A345" s="135" t="s">
        <v>917</v>
      </c>
      <c r="B345" s="136" t="s">
        <v>2859</v>
      </c>
      <c r="C345" s="137" t="s">
        <v>111</v>
      </c>
      <c r="D345" s="137" t="s">
        <v>918</v>
      </c>
      <c r="E345" s="137" t="s">
        <v>919</v>
      </c>
      <c r="F345" s="137" t="s">
        <v>685</v>
      </c>
      <c r="G345" s="138">
        <v>40241.0</v>
      </c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30"/>
      <c r="T345" s="30"/>
      <c r="U345" s="30"/>
      <c r="V345" s="30"/>
      <c r="W345" s="30"/>
      <c r="X345" s="30"/>
      <c r="Y345" s="30"/>
      <c r="Z345" s="30"/>
    </row>
    <row r="346" ht="42.75" customHeight="1">
      <c r="A346" s="139" t="s">
        <v>920</v>
      </c>
      <c r="B346" s="119" t="s">
        <v>2860</v>
      </c>
      <c r="C346" s="38" t="s">
        <v>252</v>
      </c>
      <c r="D346" s="38" t="s">
        <v>921</v>
      </c>
      <c r="E346" s="38" t="s">
        <v>922</v>
      </c>
      <c r="F346" s="38" t="s">
        <v>540</v>
      </c>
      <c r="G346" s="140">
        <v>40430.0</v>
      </c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30"/>
      <c r="T346" s="30"/>
      <c r="U346" s="30"/>
      <c r="V346" s="30"/>
      <c r="W346" s="30"/>
      <c r="X346" s="30"/>
      <c r="Y346" s="30"/>
      <c r="Z346" s="30"/>
    </row>
    <row r="347" ht="63.75" customHeight="1">
      <c r="A347" s="135" t="s">
        <v>923</v>
      </c>
      <c r="B347" s="136" t="s">
        <v>2861</v>
      </c>
      <c r="C347" s="137" t="s">
        <v>116</v>
      </c>
      <c r="D347" s="137" t="s">
        <v>924</v>
      </c>
      <c r="E347" s="137" t="s">
        <v>925</v>
      </c>
      <c r="F347" s="137" t="s">
        <v>861</v>
      </c>
      <c r="G347" s="138">
        <v>40527.0</v>
      </c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30"/>
      <c r="T347" s="30"/>
      <c r="U347" s="30"/>
      <c r="V347" s="30"/>
      <c r="W347" s="30"/>
      <c r="X347" s="30"/>
      <c r="Y347" s="30"/>
      <c r="Z347" s="30"/>
    </row>
    <row r="348" ht="38.25" customHeight="1">
      <c r="A348" s="139" t="s">
        <v>926</v>
      </c>
      <c r="B348" s="119" t="s">
        <v>2862</v>
      </c>
      <c r="C348" s="38" t="s">
        <v>18</v>
      </c>
      <c r="D348" s="38" t="s">
        <v>927</v>
      </c>
      <c r="E348" s="38" t="s">
        <v>928</v>
      </c>
      <c r="F348" s="38" t="s">
        <v>64</v>
      </c>
      <c r="G348" s="140">
        <v>40385.0</v>
      </c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30"/>
      <c r="T348" s="30"/>
      <c r="U348" s="30"/>
      <c r="V348" s="30"/>
      <c r="W348" s="30"/>
      <c r="X348" s="30"/>
      <c r="Y348" s="30"/>
      <c r="Z348" s="30"/>
    </row>
    <row r="349" ht="51.0" customHeight="1">
      <c r="A349" s="135" t="s">
        <v>929</v>
      </c>
      <c r="B349" s="136" t="s">
        <v>2863</v>
      </c>
      <c r="C349" s="137" t="s">
        <v>23</v>
      </c>
      <c r="D349" s="137" t="s">
        <v>930</v>
      </c>
      <c r="E349" s="137" t="s">
        <v>931</v>
      </c>
      <c r="F349" s="137" t="s">
        <v>184</v>
      </c>
      <c r="G349" s="138">
        <v>40234.0</v>
      </c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30"/>
      <c r="T349" s="30"/>
      <c r="U349" s="30"/>
      <c r="V349" s="30"/>
      <c r="W349" s="30"/>
      <c r="X349" s="30"/>
      <c r="Y349" s="30"/>
      <c r="Z349" s="30"/>
    </row>
    <row r="350" ht="42.75" customHeight="1">
      <c r="A350" s="139" t="s">
        <v>932</v>
      </c>
      <c r="B350" s="119" t="s">
        <v>2864</v>
      </c>
      <c r="C350" s="38" t="s">
        <v>137</v>
      </c>
      <c r="D350" s="38" t="s">
        <v>933</v>
      </c>
      <c r="E350" s="38" t="s">
        <v>934</v>
      </c>
      <c r="F350" s="38" t="s">
        <v>613</v>
      </c>
      <c r="G350" s="140">
        <v>40513.0</v>
      </c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30"/>
      <c r="T350" s="30"/>
      <c r="U350" s="30"/>
      <c r="V350" s="30"/>
      <c r="W350" s="30"/>
      <c r="X350" s="30"/>
      <c r="Y350" s="30"/>
      <c r="Z350" s="30"/>
    </row>
    <row r="351" ht="28.5" customHeight="1">
      <c r="A351" s="135" t="s">
        <v>935</v>
      </c>
      <c r="B351" s="136" t="s">
        <v>2865</v>
      </c>
      <c r="C351" s="137" t="s">
        <v>43</v>
      </c>
      <c r="D351" s="137" t="s">
        <v>936</v>
      </c>
      <c r="E351" s="137" t="s">
        <v>937</v>
      </c>
      <c r="F351" s="137" t="s">
        <v>64</v>
      </c>
      <c r="G351" s="138">
        <v>40490.0</v>
      </c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30"/>
      <c r="T351" s="30"/>
      <c r="U351" s="30"/>
      <c r="V351" s="30"/>
      <c r="W351" s="30"/>
      <c r="X351" s="30"/>
      <c r="Y351" s="30"/>
      <c r="Z351" s="30"/>
    </row>
    <row r="352" ht="63.75" customHeight="1">
      <c r="A352" s="139" t="s">
        <v>938</v>
      </c>
      <c r="B352" s="119" t="s">
        <v>2866</v>
      </c>
      <c r="C352" s="38" t="s">
        <v>33</v>
      </c>
      <c r="D352" s="38" t="s">
        <v>939</v>
      </c>
      <c r="E352" s="38" t="s">
        <v>940</v>
      </c>
      <c r="F352" s="38" t="s">
        <v>68</v>
      </c>
      <c r="G352" s="140">
        <v>40214.0</v>
      </c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30"/>
      <c r="T352" s="30"/>
      <c r="U352" s="30"/>
      <c r="V352" s="30"/>
      <c r="W352" s="30"/>
      <c r="X352" s="30"/>
      <c r="Y352" s="30"/>
      <c r="Z352" s="30"/>
    </row>
    <row r="353" ht="63.75" customHeight="1">
      <c r="A353" s="180" t="s">
        <v>2867</v>
      </c>
      <c r="B353" s="171" t="s">
        <v>2868</v>
      </c>
      <c r="C353" s="172"/>
      <c r="D353" s="172"/>
      <c r="E353" s="172" t="s">
        <v>2869</v>
      </c>
      <c r="F353" s="172"/>
      <c r="G353" s="181">
        <v>2010.0</v>
      </c>
      <c r="H353" s="174" t="s">
        <v>2870</v>
      </c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39.0" customHeight="1">
      <c r="A354" s="177" t="s">
        <v>2871</v>
      </c>
      <c r="B354" s="171" t="s">
        <v>2872</v>
      </c>
      <c r="C354" s="172"/>
      <c r="D354" s="172"/>
      <c r="E354" s="172" t="s">
        <v>2873</v>
      </c>
      <c r="F354" s="172" t="s">
        <v>540</v>
      </c>
      <c r="G354" s="181">
        <v>2010.0</v>
      </c>
      <c r="H354" s="174" t="s">
        <v>2874</v>
      </c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51.0" customHeight="1">
      <c r="A355" s="131" t="s">
        <v>941</v>
      </c>
      <c r="B355" s="132" t="s">
        <v>2875</v>
      </c>
      <c r="C355" s="133" t="s">
        <v>137</v>
      </c>
      <c r="D355" s="133" t="s">
        <v>942</v>
      </c>
      <c r="E355" s="133" t="s">
        <v>943</v>
      </c>
      <c r="F355" s="133" t="s">
        <v>685</v>
      </c>
      <c r="G355" s="134">
        <v>40585.0</v>
      </c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30"/>
      <c r="T355" s="30"/>
      <c r="U355" s="30"/>
      <c r="V355" s="30"/>
      <c r="W355" s="30"/>
      <c r="X355" s="30"/>
      <c r="Y355" s="30"/>
      <c r="Z355" s="30"/>
    </row>
    <row r="356" ht="42.75" customHeight="1">
      <c r="A356" s="135" t="s">
        <v>944</v>
      </c>
      <c r="B356" s="136" t="s">
        <v>2876</v>
      </c>
      <c r="C356" s="137" t="s">
        <v>116</v>
      </c>
      <c r="D356" s="137" t="s">
        <v>945</v>
      </c>
      <c r="E356" s="137" t="s">
        <v>946</v>
      </c>
      <c r="F356" s="137" t="s">
        <v>947</v>
      </c>
      <c r="G356" s="138">
        <v>40792.0</v>
      </c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30"/>
      <c r="T356" s="30"/>
      <c r="U356" s="30"/>
      <c r="V356" s="30"/>
      <c r="W356" s="30"/>
      <c r="X356" s="30"/>
      <c r="Y356" s="30"/>
      <c r="Z356" s="30"/>
    </row>
    <row r="357" ht="42.75" customHeight="1">
      <c r="A357" s="139" t="s">
        <v>948</v>
      </c>
      <c r="B357" s="119" t="s">
        <v>2877</v>
      </c>
      <c r="C357" s="38" t="s">
        <v>252</v>
      </c>
      <c r="D357" s="38" t="s">
        <v>949</v>
      </c>
      <c r="E357" s="38" t="s">
        <v>950</v>
      </c>
      <c r="F357" s="38" t="s">
        <v>244</v>
      </c>
      <c r="G357" s="140">
        <v>40585.0</v>
      </c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30"/>
      <c r="T357" s="30"/>
      <c r="U357" s="30"/>
      <c r="V357" s="30"/>
      <c r="W357" s="30"/>
      <c r="X357" s="30"/>
      <c r="Y357" s="30"/>
      <c r="Z357" s="30"/>
    </row>
    <row r="358" ht="51.0" customHeight="1">
      <c r="A358" s="135" t="s">
        <v>951</v>
      </c>
      <c r="B358" s="136" t="s">
        <v>2878</v>
      </c>
      <c r="C358" s="137" t="s">
        <v>33</v>
      </c>
      <c r="D358" s="137" t="s">
        <v>952</v>
      </c>
      <c r="E358" s="137" t="s">
        <v>953</v>
      </c>
      <c r="F358" s="137" t="s">
        <v>147</v>
      </c>
      <c r="G358" s="138">
        <v>40816.0</v>
      </c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30"/>
      <c r="T358" s="30"/>
      <c r="U358" s="30"/>
      <c r="V358" s="30"/>
      <c r="W358" s="30"/>
      <c r="X358" s="30"/>
      <c r="Y358" s="30"/>
      <c r="Z358" s="30"/>
    </row>
    <row r="359" ht="54.0" customHeight="1">
      <c r="A359" s="139" t="s">
        <v>954</v>
      </c>
      <c r="B359" s="119" t="s">
        <v>2879</v>
      </c>
      <c r="C359" s="38" t="s">
        <v>33</v>
      </c>
      <c r="D359" s="38" t="s">
        <v>955</v>
      </c>
      <c r="E359" s="38" t="s">
        <v>956</v>
      </c>
      <c r="F359" s="38" t="s">
        <v>64</v>
      </c>
      <c r="G359" s="140">
        <v>40805.0</v>
      </c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30"/>
      <c r="T359" s="30"/>
      <c r="U359" s="30"/>
      <c r="V359" s="30"/>
      <c r="W359" s="30"/>
      <c r="X359" s="30"/>
      <c r="Y359" s="30"/>
      <c r="Z359" s="30"/>
    </row>
    <row r="360" ht="28.5" customHeight="1">
      <c r="A360" s="196" t="s">
        <v>2880</v>
      </c>
      <c r="B360" s="136" t="s">
        <v>2881</v>
      </c>
      <c r="C360" s="137" t="s">
        <v>957</v>
      </c>
      <c r="D360" s="137" t="s">
        <v>958</v>
      </c>
      <c r="E360" s="137" t="s">
        <v>959</v>
      </c>
      <c r="F360" s="137" t="s">
        <v>540</v>
      </c>
      <c r="G360" s="138">
        <v>40585.0</v>
      </c>
      <c r="H360" s="29" t="s">
        <v>2623</v>
      </c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30"/>
      <c r="T360" s="30"/>
      <c r="U360" s="30"/>
      <c r="V360" s="30"/>
      <c r="W360" s="30"/>
      <c r="X360" s="30"/>
      <c r="Y360" s="30"/>
      <c r="Z360" s="30"/>
    </row>
    <row r="361" ht="28.5" customHeight="1">
      <c r="A361" s="139" t="s">
        <v>960</v>
      </c>
      <c r="B361" s="119" t="s">
        <v>2882</v>
      </c>
      <c r="C361" s="38" t="s">
        <v>116</v>
      </c>
      <c r="D361" s="38" t="s">
        <v>961</v>
      </c>
      <c r="E361" s="38" t="s">
        <v>962</v>
      </c>
      <c r="F361" s="38" t="s">
        <v>963</v>
      </c>
      <c r="G361" s="140">
        <v>40557.0</v>
      </c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30"/>
      <c r="T361" s="30"/>
      <c r="U361" s="30"/>
      <c r="V361" s="30"/>
      <c r="W361" s="30"/>
      <c r="X361" s="30"/>
      <c r="Y361" s="30"/>
      <c r="Z361" s="30"/>
    </row>
    <row r="362" ht="42.75" customHeight="1">
      <c r="A362" s="135" t="s">
        <v>964</v>
      </c>
      <c r="B362" s="136" t="s">
        <v>2883</v>
      </c>
      <c r="C362" s="137" t="s">
        <v>167</v>
      </c>
      <c r="D362" s="137" t="s">
        <v>965</v>
      </c>
      <c r="E362" s="137" t="s">
        <v>966</v>
      </c>
      <c r="F362" s="137" t="s">
        <v>685</v>
      </c>
      <c r="G362" s="138">
        <v>40585.0</v>
      </c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30"/>
      <c r="T362" s="30"/>
      <c r="U362" s="30"/>
      <c r="V362" s="30"/>
      <c r="W362" s="30"/>
      <c r="X362" s="30"/>
      <c r="Y362" s="30"/>
      <c r="Z362" s="30"/>
    </row>
    <row r="363" ht="38.25" customHeight="1">
      <c r="A363" s="139" t="s">
        <v>967</v>
      </c>
      <c r="B363" s="119" t="s">
        <v>2884</v>
      </c>
      <c r="C363" s="38" t="s">
        <v>43</v>
      </c>
      <c r="D363" s="38" t="s">
        <v>968</v>
      </c>
      <c r="E363" s="38" t="s">
        <v>969</v>
      </c>
      <c r="F363" s="38" t="s">
        <v>963</v>
      </c>
      <c r="G363" s="140">
        <v>40816.0</v>
      </c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30"/>
      <c r="T363" s="30"/>
      <c r="U363" s="30"/>
      <c r="V363" s="30"/>
      <c r="W363" s="30"/>
      <c r="X363" s="30"/>
      <c r="Y363" s="30"/>
      <c r="Z363" s="30"/>
    </row>
    <row r="364" ht="51.0" customHeight="1">
      <c r="A364" s="197" t="s">
        <v>2885</v>
      </c>
      <c r="B364" s="136" t="s">
        <v>2886</v>
      </c>
      <c r="C364" s="137" t="s">
        <v>111</v>
      </c>
      <c r="D364" s="137" t="s">
        <v>970</v>
      </c>
      <c r="E364" s="137" t="s">
        <v>971</v>
      </c>
      <c r="F364" s="137" t="s">
        <v>147</v>
      </c>
      <c r="G364" s="138">
        <v>40812.0</v>
      </c>
      <c r="H364" s="29" t="s">
        <v>2623</v>
      </c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30"/>
      <c r="T364" s="30"/>
      <c r="U364" s="30"/>
      <c r="V364" s="30"/>
      <c r="W364" s="30"/>
      <c r="X364" s="30"/>
      <c r="Y364" s="30"/>
      <c r="Z364" s="30"/>
    </row>
    <row r="365" ht="63.75" customHeight="1">
      <c r="A365" s="139" t="s">
        <v>972</v>
      </c>
      <c r="B365" s="119" t="s">
        <v>2887</v>
      </c>
      <c r="C365" s="38" t="s">
        <v>23</v>
      </c>
      <c r="D365" s="38" t="s">
        <v>973</v>
      </c>
      <c r="E365" s="38" t="s">
        <v>974</v>
      </c>
      <c r="F365" s="38" t="s">
        <v>147</v>
      </c>
      <c r="G365" s="140">
        <v>40815.0</v>
      </c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30"/>
      <c r="T365" s="30"/>
      <c r="U365" s="30"/>
      <c r="V365" s="30"/>
      <c r="W365" s="30"/>
      <c r="X365" s="30"/>
      <c r="Y365" s="30"/>
      <c r="Z365" s="30"/>
    </row>
    <row r="366" ht="63.75" customHeight="1">
      <c r="A366" s="135" t="s">
        <v>975</v>
      </c>
      <c r="B366" s="136" t="s">
        <v>2888</v>
      </c>
      <c r="C366" s="137" t="s">
        <v>276</v>
      </c>
      <c r="D366" s="137" t="s">
        <v>976</v>
      </c>
      <c r="E366" s="137" t="s">
        <v>977</v>
      </c>
      <c r="F366" s="137" t="s">
        <v>41</v>
      </c>
      <c r="G366" s="138">
        <v>40812.0</v>
      </c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30"/>
      <c r="T366" s="30"/>
      <c r="U366" s="30"/>
      <c r="V366" s="30"/>
      <c r="W366" s="30"/>
      <c r="X366" s="30"/>
      <c r="Y366" s="30"/>
      <c r="Z366" s="30"/>
    </row>
    <row r="367" ht="38.25" customHeight="1">
      <c r="A367" s="139" t="s">
        <v>978</v>
      </c>
      <c r="B367" s="119" t="s">
        <v>2889</v>
      </c>
      <c r="C367" s="38" t="s">
        <v>167</v>
      </c>
      <c r="D367" s="38" t="s">
        <v>979</v>
      </c>
      <c r="E367" s="38" t="s">
        <v>980</v>
      </c>
      <c r="F367" s="38" t="s">
        <v>685</v>
      </c>
      <c r="G367" s="140">
        <v>40805.0</v>
      </c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30"/>
      <c r="T367" s="30"/>
      <c r="U367" s="30"/>
      <c r="V367" s="30"/>
      <c r="W367" s="30"/>
      <c r="X367" s="30"/>
      <c r="Y367" s="30"/>
      <c r="Z367" s="30"/>
    </row>
    <row r="368" ht="28.5" customHeight="1">
      <c r="A368" s="135" t="s">
        <v>981</v>
      </c>
      <c r="B368" s="136" t="s">
        <v>2890</v>
      </c>
      <c r="C368" s="137" t="s">
        <v>137</v>
      </c>
      <c r="D368" s="137" t="s">
        <v>982</v>
      </c>
      <c r="E368" s="137" t="s">
        <v>983</v>
      </c>
      <c r="F368" s="137" t="s">
        <v>861</v>
      </c>
      <c r="G368" s="138">
        <v>40578.0</v>
      </c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30"/>
      <c r="T368" s="30"/>
      <c r="U368" s="30"/>
      <c r="V368" s="30"/>
      <c r="W368" s="30"/>
      <c r="X368" s="30"/>
      <c r="Y368" s="30"/>
      <c r="Z368" s="30"/>
    </row>
    <row r="369" ht="51.0" customHeight="1">
      <c r="A369" s="139" t="s">
        <v>984</v>
      </c>
      <c r="B369" s="119" t="s">
        <v>2891</v>
      </c>
      <c r="C369" s="38" t="s">
        <v>167</v>
      </c>
      <c r="D369" s="38" t="s">
        <v>985</v>
      </c>
      <c r="E369" s="38" t="s">
        <v>986</v>
      </c>
      <c r="F369" s="38" t="s">
        <v>963</v>
      </c>
      <c r="G369" s="140">
        <v>40816.0</v>
      </c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30"/>
      <c r="T369" s="30"/>
      <c r="U369" s="30"/>
      <c r="V369" s="30"/>
      <c r="W369" s="30"/>
      <c r="X369" s="30"/>
      <c r="Y369" s="30"/>
      <c r="Z369" s="30"/>
    </row>
    <row r="370" ht="38.25" customHeight="1">
      <c r="A370" s="135" t="s">
        <v>987</v>
      </c>
      <c r="B370" s="136" t="s">
        <v>2892</v>
      </c>
      <c r="C370" s="137" t="s">
        <v>276</v>
      </c>
      <c r="D370" s="137" t="s">
        <v>988</v>
      </c>
      <c r="E370" s="137" t="s">
        <v>989</v>
      </c>
      <c r="F370" s="137" t="s">
        <v>31</v>
      </c>
      <c r="G370" s="138">
        <v>40585.0</v>
      </c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30"/>
      <c r="T370" s="30"/>
      <c r="U370" s="30"/>
      <c r="V370" s="30"/>
      <c r="W370" s="30"/>
      <c r="X370" s="30"/>
      <c r="Y370" s="30"/>
      <c r="Z370" s="30"/>
    </row>
    <row r="371" ht="51.0" customHeight="1">
      <c r="A371" s="139" t="s">
        <v>990</v>
      </c>
      <c r="B371" s="119" t="s">
        <v>2893</v>
      </c>
      <c r="C371" s="38" t="s">
        <v>13</v>
      </c>
      <c r="D371" s="38" t="s">
        <v>991</v>
      </c>
      <c r="E371" s="38" t="s">
        <v>992</v>
      </c>
      <c r="F371" s="38" t="s">
        <v>685</v>
      </c>
      <c r="G371" s="140">
        <v>40952.0</v>
      </c>
      <c r="H371" s="42" t="s">
        <v>2771</v>
      </c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42.75" customHeight="1">
      <c r="A372" s="135" t="s">
        <v>993</v>
      </c>
      <c r="B372" s="136" t="s">
        <v>2894</v>
      </c>
      <c r="C372" s="137" t="s">
        <v>167</v>
      </c>
      <c r="D372" s="137" t="s">
        <v>994</v>
      </c>
      <c r="E372" s="137" t="s">
        <v>995</v>
      </c>
      <c r="F372" s="137" t="s">
        <v>685</v>
      </c>
      <c r="G372" s="138">
        <v>40583.0</v>
      </c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30"/>
      <c r="T372" s="30"/>
      <c r="U372" s="30"/>
      <c r="V372" s="30"/>
      <c r="W372" s="30"/>
      <c r="X372" s="30"/>
      <c r="Y372" s="30"/>
      <c r="Z372" s="30"/>
    </row>
    <row r="373" ht="38.25" customHeight="1">
      <c r="A373" s="139" t="s">
        <v>996</v>
      </c>
      <c r="B373" s="119" t="s">
        <v>2895</v>
      </c>
      <c r="C373" s="38" t="s">
        <v>47</v>
      </c>
      <c r="D373" s="38" t="s">
        <v>997</v>
      </c>
      <c r="E373" s="38" t="s">
        <v>998</v>
      </c>
      <c r="F373" s="38" t="s">
        <v>73</v>
      </c>
      <c r="G373" s="140">
        <v>40571.0</v>
      </c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30"/>
      <c r="T373" s="30"/>
      <c r="U373" s="30"/>
      <c r="V373" s="30"/>
      <c r="W373" s="30"/>
      <c r="X373" s="30"/>
      <c r="Y373" s="30"/>
      <c r="Z373" s="30"/>
    </row>
    <row r="374" ht="51.0" customHeight="1">
      <c r="A374" s="135" t="s">
        <v>999</v>
      </c>
      <c r="B374" s="136" t="s">
        <v>2896</v>
      </c>
      <c r="C374" s="137" t="s">
        <v>116</v>
      </c>
      <c r="D374" s="137" t="s">
        <v>1000</v>
      </c>
      <c r="E374" s="137" t="s">
        <v>1001</v>
      </c>
      <c r="F374" s="137" t="s">
        <v>147</v>
      </c>
      <c r="G374" s="138">
        <v>40581.0</v>
      </c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30"/>
      <c r="T374" s="30"/>
      <c r="U374" s="30"/>
      <c r="V374" s="30"/>
      <c r="W374" s="30"/>
      <c r="X374" s="30"/>
      <c r="Y374" s="30"/>
      <c r="Z374" s="30"/>
    </row>
    <row r="375" ht="51.0" customHeight="1">
      <c r="A375" s="139" t="s">
        <v>1002</v>
      </c>
      <c r="B375" s="119" t="s">
        <v>2897</v>
      </c>
      <c r="C375" s="38" t="s">
        <v>252</v>
      </c>
      <c r="D375" s="38" t="s">
        <v>1003</v>
      </c>
      <c r="E375" s="38" t="s">
        <v>1004</v>
      </c>
      <c r="F375" s="38" t="s">
        <v>620</v>
      </c>
      <c r="G375" s="140">
        <v>40585.0</v>
      </c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30"/>
      <c r="T375" s="30"/>
      <c r="U375" s="30"/>
      <c r="V375" s="30"/>
      <c r="W375" s="30"/>
      <c r="X375" s="30"/>
      <c r="Y375" s="30"/>
      <c r="Z375" s="30"/>
    </row>
    <row r="376" ht="38.25" customHeight="1">
      <c r="A376" s="135" t="s">
        <v>2898</v>
      </c>
      <c r="B376" s="136" t="s">
        <v>2899</v>
      </c>
      <c r="C376" s="137" t="s">
        <v>1005</v>
      </c>
      <c r="D376" s="137" t="s">
        <v>1006</v>
      </c>
      <c r="E376" s="137" t="s">
        <v>1007</v>
      </c>
      <c r="F376" s="137" t="s">
        <v>184</v>
      </c>
      <c r="G376" s="182">
        <v>2011.0</v>
      </c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30"/>
      <c r="T376" s="30"/>
      <c r="U376" s="30"/>
      <c r="V376" s="30"/>
      <c r="W376" s="30"/>
      <c r="X376" s="30"/>
      <c r="Y376" s="30"/>
      <c r="Z376" s="30"/>
    </row>
    <row r="377" ht="51.0" customHeight="1">
      <c r="A377" s="198" t="s">
        <v>1008</v>
      </c>
      <c r="B377" s="119" t="s">
        <v>2900</v>
      </c>
      <c r="C377" s="38" t="s">
        <v>159</v>
      </c>
      <c r="D377" s="38" t="s">
        <v>1009</v>
      </c>
      <c r="E377" s="38" t="s">
        <v>1010</v>
      </c>
      <c r="F377" s="38" t="s">
        <v>1011</v>
      </c>
      <c r="G377" s="140">
        <v>40954.0</v>
      </c>
      <c r="H377" s="42" t="s">
        <v>2870</v>
      </c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43.5" customHeight="1">
      <c r="A378" s="199" t="s">
        <v>2901</v>
      </c>
      <c r="B378" s="200" t="s">
        <v>2902</v>
      </c>
      <c r="C378" s="201" t="s">
        <v>338</v>
      </c>
      <c r="D378" s="201" t="s">
        <v>1012</v>
      </c>
      <c r="E378" s="201" t="s">
        <v>1013</v>
      </c>
      <c r="F378" s="201" t="s">
        <v>105</v>
      </c>
      <c r="G378" s="202">
        <v>40954.0</v>
      </c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30"/>
      <c r="T378" s="30"/>
      <c r="U378" s="30"/>
      <c r="V378" s="30"/>
      <c r="W378" s="30"/>
      <c r="X378" s="30"/>
      <c r="Y378" s="30"/>
      <c r="Z378" s="30"/>
    </row>
    <row r="379" ht="28.5" customHeight="1">
      <c r="A379" s="150" t="s">
        <v>1017</v>
      </c>
      <c r="B379" s="151" t="s">
        <v>2903</v>
      </c>
      <c r="C379" s="152" t="s">
        <v>167</v>
      </c>
      <c r="D379" s="152" t="s">
        <v>1018</v>
      </c>
      <c r="E379" s="137" t="s">
        <v>1019</v>
      </c>
      <c r="F379" s="152" t="s">
        <v>1020</v>
      </c>
      <c r="G379" s="154">
        <v>41114.0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30"/>
      <c r="T379" s="30"/>
      <c r="U379" s="30"/>
      <c r="V379" s="30"/>
      <c r="W379" s="30"/>
      <c r="X379" s="30"/>
      <c r="Y379" s="30"/>
      <c r="Z379" s="30"/>
    </row>
    <row r="380" ht="51.0" customHeight="1">
      <c r="A380" s="139" t="s">
        <v>1021</v>
      </c>
      <c r="B380" s="119" t="s">
        <v>2904</v>
      </c>
      <c r="C380" s="38" t="s">
        <v>1022</v>
      </c>
      <c r="D380" s="38" t="s">
        <v>1023</v>
      </c>
      <c r="E380" s="38" t="s">
        <v>1024</v>
      </c>
      <c r="F380" s="38" t="s">
        <v>184</v>
      </c>
      <c r="G380" s="140">
        <v>40954.0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30"/>
      <c r="T380" s="30"/>
      <c r="U380" s="30"/>
      <c r="V380" s="30"/>
      <c r="W380" s="30"/>
      <c r="X380" s="30"/>
      <c r="Y380" s="30"/>
      <c r="Z380" s="30"/>
    </row>
    <row r="381" ht="51.0" customHeight="1">
      <c r="A381" s="135" t="s">
        <v>1025</v>
      </c>
      <c r="B381" s="136" t="s">
        <v>2905</v>
      </c>
      <c r="C381" s="137" t="s">
        <v>111</v>
      </c>
      <c r="D381" s="137" t="s">
        <v>1026</v>
      </c>
      <c r="E381" s="137" t="s">
        <v>1027</v>
      </c>
      <c r="F381" s="137" t="s">
        <v>356</v>
      </c>
      <c r="G381" s="138">
        <v>41263.0</v>
      </c>
      <c r="H381" s="29" t="s">
        <v>2771</v>
      </c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30"/>
      <c r="T381" s="30"/>
      <c r="U381" s="30"/>
      <c r="V381" s="30"/>
      <c r="W381" s="30"/>
      <c r="X381" s="30"/>
      <c r="Y381" s="30"/>
      <c r="Z381" s="30"/>
    </row>
    <row r="382" ht="51.0" customHeight="1">
      <c r="A382" s="139" t="s">
        <v>1028</v>
      </c>
      <c r="B382" s="119" t="s">
        <v>2906</v>
      </c>
      <c r="C382" s="38" t="s">
        <v>47</v>
      </c>
      <c r="D382" s="38" t="s">
        <v>1029</v>
      </c>
      <c r="E382" s="38" t="s">
        <v>1030</v>
      </c>
      <c r="F382" s="38" t="s">
        <v>1031</v>
      </c>
      <c r="G382" s="140">
        <v>41113.0</v>
      </c>
      <c r="H382" s="29" t="s">
        <v>2771</v>
      </c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30"/>
      <c r="T382" s="30"/>
      <c r="U382" s="30"/>
      <c r="V382" s="30"/>
      <c r="W382" s="30"/>
      <c r="X382" s="30"/>
      <c r="Y382" s="30"/>
      <c r="Z382" s="30"/>
    </row>
    <row r="383" ht="57.0" customHeight="1">
      <c r="A383" s="135" t="s">
        <v>1032</v>
      </c>
      <c r="B383" s="136" t="s">
        <v>2907</v>
      </c>
      <c r="C383" s="137" t="s">
        <v>43</v>
      </c>
      <c r="D383" s="137" t="s">
        <v>1033</v>
      </c>
      <c r="E383" s="137" t="s">
        <v>1034</v>
      </c>
      <c r="F383" s="137" t="s">
        <v>64</v>
      </c>
      <c r="G383" s="138">
        <v>40955.0</v>
      </c>
      <c r="H383" s="29" t="s">
        <v>2771</v>
      </c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30"/>
      <c r="T383" s="30"/>
      <c r="U383" s="30"/>
      <c r="V383" s="30"/>
      <c r="W383" s="30"/>
      <c r="X383" s="30"/>
      <c r="Y383" s="30"/>
      <c r="Z383" s="30"/>
    </row>
    <row r="384" ht="38.25" customHeight="1">
      <c r="A384" s="139" t="s">
        <v>1035</v>
      </c>
      <c r="B384" s="119" t="s">
        <v>2908</v>
      </c>
      <c r="C384" s="38" t="s">
        <v>386</v>
      </c>
      <c r="D384" s="38" t="s">
        <v>1036</v>
      </c>
      <c r="E384" s="38" t="s">
        <v>1037</v>
      </c>
      <c r="F384" s="38" t="s">
        <v>114</v>
      </c>
      <c r="G384" s="140">
        <v>41261.0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30"/>
      <c r="T384" s="30"/>
      <c r="U384" s="30"/>
      <c r="V384" s="30"/>
      <c r="W384" s="30"/>
      <c r="X384" s="30"/>
      <c r="Y384" s="30"/>
      <c r="Z384" s="30"/>
    </row>
    <row r="385" ht="42.75" customHeight="1">
      <c r="A385" s="135" t="s">
        <v>1038</v>
      </c>
      <c r="B385" s="136" t="s">
        <v>2909</v>
      </c>
      <c r="C385" s="137" t="s">
        <v>56</v>
      </c>
      <c r="D385" s="137" t="s">
        <v>1039</v>
      </c>
      <c r="E385" s="137" t="s">
        <v>1040</v>
      </c>
      <c r="F385" s="137" t="s">
        <v>540</v>
      </c>
      <c r="G385" s="138">
        <v>40939.0</v>
      </c>
      <c r="H385" s="29" t="s">
        <v>2771</v>
      </c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30"/>
      <c r="T385" s="30"/>
      <c r="U385" s="30"/>
      <c r="V385" s="30"/>
      <c r="W385" s="30"/>
      <c r="X385" s="30"/>
      <c r="Y385" s="30"/>
      <c r="Z385" s="30"/>
    </row>
    <row r="386" ht="42.75" customHeight="1">
      <c r="A386" s="139" t="s">
        <v>1041</v>
      </c>
      <c r="B386" s="119" t="s">
        <v>2910</v>
      </c>
      <c r="C386" s="38" t="s">
        <v>111</v>
      </c>
      <c r="D386" s="38" t="s">
        <v>2911</v>
      </c>
      <c r="E386" s="38" t="s">
        <v>1043</v>
      </c>
      <c r="F386" s="38" t="s">
        <v>1044</v>
      </c>
      <c r="G386" s="140">
        <v>41263.0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30"/>
      <c r="T386" s="30"/>
      <c r="U386" s="30"/>
      <c r="V386" s="30"/>
      <c r="W386" s="30"/>
      <c r="X386" s="30"/>
      <c r="Y386" s="30"/>
      <c r="Z386" s="30"/>
    </row>
    <row r="387" ht="63.75" customHeight="1">
      <c r="A387" s="135" t="s">
        <v>1045</v>
      </c>
      <c r="B387" s="136" t="s">
        <v>2912</v>
      </c>
      <c r="C387" s="137" t="s">
        <v>1046</v>
      </c>
      <c r="D387" s="137" t="s">
        <v>1047</v>
      </c>
      <c r="E387" s="137" t="s">
        <v>1048</v>
      </c>
      <c r="F387" s="137" t="s">
        <v>232</v>
      </c>
      <c r="G387" s="138">
        <v>41261.0</v>
      </c>
      <c r="H387" s="29" t="s">
        <v>2771</v>
      </c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30"/>
      <c r="T387" s="30"/>
      <c r="U387" s="30"/>
      <c r="V387" s="30"/>
      <c r="W387" s="30"/>
      <c r="X387" s="30"/>
      <c r="Y387" s="30"/>
      <c r="Z387" s="30"/>
    </row>
    <row r="388" ht="38.25" customHeight="1">
      <c r="A388" s="139" t="s">
        <v>1049</v>
      </c>
      <c r="B388" s="119" t="s">
        <v>2913</v>
      </c>
      <c r="C388" s="38" t="s">
        <v>301</v>
      </c>
      <c r="D388" s="38" t="s">
        <v>1050</v>
      </c>
      <c r="E388" s="38" t="s">
        <v>1051</v>
      </c>
      <c r="F388" s="38" t="s">
        <v>473</v>
      </c>
      <c r="G388" s="140">
        <v>40956.0</v>
      </c>
      <c r="H388" s="29" t="s">
        <v>2771</v>
      </c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30"/>
      <c r="T388" s="30"/>
      <c r="U388" s="30"/>
      <c r="V388" s="30"/>
      <c r="W388" s="30"/>
      <c r="X388" s="30"/>
      <c r="Y388" s="30"/>
      <c r="Z388" s="30"/>
    </row>
    <row r="389" ht="51.0" customHeight="1">
      <c r="A389" s="135" t="s">
        <v>1052</v>
      </c>
      <c r="B389" s="136" t="s">
        <v>2914</v>
      </c>
      <c r="C389" s="137" t="s">
        <v>252</v>
      </c>
      <c r="D389" s="137" t="s">
        <v>1053</v>
      </c>
      <c r="E389" s="137" t="s">
        <v>1054</v>
      </c>
      <c r="F389" s="137" t="s">
        <v>947</v>
      </c>
      <c r="G389" s="138">
        <v>41250.0</v>
      </c>
      <c r="H389" s="29" t="s">
        <v>2771</v>
      </c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30"/>
      <c r="T389" s="30"/>
      <c r="U389" s="30"/>
      <c r="V389" s="30"/>
      <c r="W389" s="30"/>
      <c r="X389" s="30"/>
      <c r="Y389" s="30"/>
      <c r="Z389" s="30"/>
    </row>
    <row r="390" ht="42.75" customHeight="1">
      <c r="A390" s="139" t="s">
        <v>1055</v>
      </c>
      <c r="B390" s="119" t="s">
        <v>2915</v>
      </c>
      <c r="C390" s="38" t="s">
        <v>386</v>
      </c>
      <c r="D390" s="38" t="s">
        <v>1056</v>
      </c>
      <c r="E390" s="38" t="s">
        <v>1057</v>
      </c>
      <c r="F390" s="38" t="s">
        <v>1031</v>
      </c>
      <c r="G390" s="140">
        <v>41264.0</v>
      </c>
      <c r="H390" s="29" t="s">
        <v>2771</v>
      </c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30"/>
      <c r="T390" s="30"/>
      <c r="U390" s="30"/>
      <c r="V390" s="30"/>
      <c r="W390" s="30"/>
      <c r="X390" s="30"/>
      <c r="Y390" s="30"/>
      <c r="Z390" s="30"/>
    </row>
    <row r="391" ht="28.5" customHeight="1">
      <c r="A391" s="135" t="s">
        <v>1058</v>
      </c>
      <c r="B391" s="136" t="s">
        <v>2916</v>
      </c>
      <c r="C391" s="137" t="s">
        <v>167</v>
      </c>
      <c r="D391" s="137" t="s">
        <v>1059</v>
      </c>
      <c r="E391" s="137" t="s">
        <v>1060</v>
      </c>
      <c r="F391" s="137" t="s">
        <v>1020</v>
      </c>
      <c r="G391" s="138">
        <v>41260.0</v>
      </c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30"/>
      <c r="T391" s="30"/>
      <c r="U391" s="30"/>
      <c r="V391" s="30"/>
      <c r="W391" s="30"/>
      <c r="X391" s="30"/>
      <c r="Y391" s="30"/>
      <c r="Z391" s="30"/>
    </row>
    <row r="392" ht="42.75" customHeight="1">
      <c r="A392" s="139" t="s">
        <v>1061</v>
      </c>
      <c r="B392" s="119" t="s">
        <v>2917</v>
      </c>
      <c r="C392" s="38" t="s">
        <v>252</v>
      </c>
      <c r="D392" s="38" t="s">
        <v>1062</v>
      </c>
      <c r="E392" s="38" t="s">
        <v>1063</v>
      </c>
      <c r="F392" s="38" t="s">
        <v>685</v>
      </c>
      <c r="G392" s="140">
        <v>41260.0</v>
      </c>
      <c r="H392" s="29" t="s">
        <v>2771</v>
      </c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30"/>
      <c r="T392" s="30"/>
      <c r="U392" s="30"/>
      <c r="V392" s="30"/>
      <c r="W392" s="30"/>
      <c r="X392" s="30"/>
      <c r="Y392" s="30"/>
      <c r="Z392" s="30"/>
    </row>
    <row r="393" ht="38.25" customHeight="1">
      <c r="A393" s="135" t="s">
        <v>1064</v>
      </c>
      <c r="B393" s="136" t="s">
        <v>2918</v>
      </c>
      <c r="C393" s="137" t="s">
        <v>47</v>
      </c>
      <c r="D393" s="137" t="s">
        <v>1065</v>
      </c>
      <c r="E393" s="137" t="s">
        <v>1066</v>
      </c>
      <c r="F393" s="137" t="s">
        <v>244</v>
      </c>
      <c r="G393" s="138">
        <v>41260.0</v>
      </c>
      <c r="H393" s="29" t="s">
        <v>2771</v>
      </c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30"/>
      <c r="T393" s="30"/>
      <c r="U393" s="30"/>
      <c r="V393" s="30"/>
      <c r="W393" s="30"/>
      <c r="X393" s="30"/>
      <c r="Y393" s="30"/>
      <c r="Z393" s="30"/>
    </row>
    <row r="394" ht="42.75" customHeight="1">
      <c r="A394" s="139" t="s">
        <v>1067</v>
      </c>
      <c r="B394" s="119" t="s">
        <v>2919</v>
      </c>
      <c r="C394" s="38" t="s">
        <v>276</v>
      </c>
      <c r="D394" s="38" t="s">
        <v>1068</v>
      </c>
      <c r="E394" s="38" t="s">
        <v>1069</v>
      </c>
      <c r="F394" s="38" t="s">
        <v>2920</v>
      </c>
      <c r="G394" s="140">
        <v>40948.0</v>
      </c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30"/>
      <c r="T394" s="30"/>
      <c r="U394" s="30"/>
      <c r="V394" s="30"/>
      <c r="W394" s="30"/>
      <c r="X394" s="30"/>
      <c r="Y394" s="30"/>
      <c r="Z394" s="30"/>
    </row>
    <row r="395" ht="38.25" customHeight="1">
      <c r="A395" s="135" t="s">
        <v>1071</v>
      </c>
      <c r="B395" s="136" t="s">
        <v>2921</v>
      </c>
      <c r="C395" s="137" t="s">
        <v>61</v>
      </c>
      <c r="D395" s="137" t="s">
        <v>1072</v>
      </c>
      <c r="E395" s="137" t="s">
        <v>1073</v>
      </c>
      <c r="F395" s="137" t="s">
        <v>1011</v>
      </c>
      <c r="G395" s="138">
        <v>40955.0</v>
      </c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30"/>
      <c r="T395" s="30"/>
      <c r="U395" s="30"/>
      <c r="V395" s="30"/>
      <c r="W395" s="30"/>
      <c r="X395" s="30"/>
      <c r="Y395" s="30"/>
      <c r="Z395" s="30"/>
    </row>
    <row r="396" ht="38.25" customHeight="1">
      <c r="A396" s="139" t="s">
        <v>1074</v>
      </c>
      <c r="B396" s="119" t="s">
        <v>2922</v>
      </c>
      <c r="C396" s="38" t="s">
        <v>301</v>
      </c>
      <c r="D396" s="38" t="s">
        <v>1075</v>
      </c>
      <c r="E396" s="38" t="s">
        <v>1076</v>
      </c>
      <c r="F396" s="38" t="s">
        <v>73</v>
      </c>
      <c r="G396" s="140">
        <v>41262.0</v>
      </c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30"/>
      <c r="T396" s="30"/>
      <c r="U396" s="30"/>
      <c r="V396" s="30"/>
      <c r="W396" s="30"/>
      <c r="X396" s="30"/>
      <c r="Y396" s="30"/>
      <c r="Z396" s="30"/>
    </row>
    <row r="397" ht="51.0" customHeight="1">
      <c r="A397" s="135" t="s">
        <v>1077</v>
      </c>
      <c r="B397" s="136" t="s">
        <v>2923</v>
      </c>
      <c r="C397" s="137" t="s">
        <v>167</v>
      </c>
      <c r="D397" s="137" t="s">
        <v>1078</v>
      </c>
      <c r="E397" s="137" t="s">
        <v>1079</v>
      </c>
      <c r="F397" s="137" t="s">
        <v>244</v>
      </c>
      <c r="G397" s="138">
        <v>41260.0</v>
      </c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30"/>
      <c r="T397" s="30"/>
      <c r="U397" s="30"/>
      <c r="V397" s="30"/>
      <c r="W397" s="30"/>
      <c r="X397" s="30"/>
      <c r="Y397" s="30"/>
      <c r="Z397" s="30"/>
    </row>
    <row r="398" ht="51.0" customHeight="1">
      <c r="A398" s="139" t="s">
        <v>1080</v>
      </c>
      <c r="B398" s="119" t="s">
        <v>2924</v>
      </c>
      <c r="C398" s="38" t="s">
        <v>276</v>
      </c>
      <c r="D398" s="38" t="s">
        <v>1081</v>
      </c>
      <c r="E398" s="38" t="s">
        <v>1082</v>
      </c>
      <c r="F398" s="38" t="s">
        <v>1083</v>
      </c>
      <c r="G398" s="140">
        <v>41256.0</v>
      </c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30"/>
      <c r="T398" s="30"/>
      <c r="U398" s="30"/>
      <c r="V398" s="30"/>
      <c r="W398" s="30"/>
      <c r="X398" s="30"/>
      <c r="Y398" s="30"/>
      <c r="Z398" s="30"/>
    </row>
    <row r="399" ht="38.25" customHeight="1">
      <c r="A399" s="135" t="s">
        <v>1084</v>
      </c>
      <c r="B399" s="136" t="s">
        <v>2925</v>
      </c>
      <c r="C399" s="137" t="s">
        <v>386</v>
      </c>
      <c r="D399" s="137" t="s">
        <v>1085</v>
      </c>
      <c r="E399" s="137" t="s">
        <v>1086</v>
      </c>
      <c r="F399" s="137" t="s">
        <v>114</v>
      </c>
      <c r="G399" s="138">
        <v>40955.0</v>
      </c>
      <c r="H399" s="29" t="s">
        <v>2771</v>
      </c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30"/>
      <c r="T399" s="30"/>
      <c r="U399" s="30"/>
      <c r="V399" s="30"/>
      <c r="W399" s="30"/>
      <c r="X399" s="30"/>
      <c r="Y399" s="30"/>
      <c r="Z399" s="30"/>
    </row>
    <row r="400" ht="38.25" customHeight="1">
      <c r="A400" s="139" t="s">
        <v>1087</v>
      </c>
      <c r="B400" s="119" t="s">
        <v>2926</v>
      </c>
      <c r="C400" s="38" t="s">
        <v>28</v>
      </c>
      <c r="D400" s="38" t="s">
        <v>1088</v>
      </c>
      <c r="E400" s="38" t="s">
        <v>1089</v>
      </c>
      <c r="F400" s="38" t="s">
        <v>184</v>
      </c>
      <c r="G400" s="140">
        <v>41120.0</v>
      </c>
      <c r="H400" s="29" t="s">
        <v>2771</v>
      </c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30"/>
      <c r="T400" s="30"/>
      <c r="U400" s="30"/>
      <c r="V400" s="30"/>
      <c r="W400" s="30"/>
      <c r="X400" s="30"/>
      <c r="Y400" s="30"/>
      <c r="Z400" s="30"/>
    </row>
    <row r="401" ht="63.75" customHeight="1">
      <c r="A401" s="135" t="s">
        <v>1090</v>
      </c>
      <c r="B401" s="136" t="s">
        <v>2927</v>
      </c>
      <c r="C401" s="137" t="s">
        <v>47</v>
      </c>
      <c r="D401" s="137" t="s">
        <v>1091</v>
      </c>
      <c r="E401" s="137" t="s">
        <v>1092</v>
      </c>
      <c r="F401" s="137" t="s">
        <v>16</v>
      </c>
      <c r="G401" s="138">
        <v>40948.0</v>
      </c>
      <c r="H401" s="29" t="s">
        <v>2771</v>
      </c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30"/>
      <c r="T401" s="30"/>
      <c r="U401" s="30"/>
      <c r="V401" s="30"/>
      <c r="W401" s="30"/>
      <c r="X401" s="30"/>
      <c r="Y401" s="30"/>
      <c r="Z401" s="30"/>
    </row>
    <row r="402" ht="51.0" customHeight="1">
      <c r="A402" s="139" t="s">
        <v>1093</v>
      </c>
      <c r="B402" s="119" t="s">
        <v>2928</v>
      </c>
      <c r="C402" s="38" t="s">
        <v>23</v>
      </c>
      <c r="D402" s="38" t="s">
        <v>1094</v>
      </c>
      <c r="E402" s="38" t="s">
        <v>1095</v>
      </c>
      <c r="F402" s="38" t="s">
        <v>947</v>
      </c>
      <c r="G402" s="140">
        <v>40947.0</v>
      </c>
      <c r="H402" s="29" t="s">
        <v>2771</v>
      </c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30"/>
      <c r="T402" s="30"/>
      <c r="U402" s="30"/>
      <c r="V402" s="30"/>
      <c r="W402" s="30"/>
      <c r="X402" s="30"/>
      <c r="Y402" s="30"/>
      <c r="Z402" s="30"/>
    </row>
    <row r="403" ht="42.75" customHeight="1">
      <c r="A403" s="135" t="s">
        <v>1096</v>
      </c>
      <c r="B403" s="136" t="s">
        <v>2929</v>
      </c>
      <c r="C403" s="137" t="s">
        <v>116</v>
      </c>
      <c r="D403" s="137" t="s">
        <v>1097</v>
      </c>
      <c r="E403" s="137" t="s">
        <v>1098</v>
      </c>
      <c r="F403" s="137" t="s">
        <v>861</v>
      </c>
      <c r="G403" s="138">
        <v>40954.0</v>
      </c>
      <c r="H403" s="29" t="s">
        <v>2771</v>
      </c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30"/>
      <c r="T403" s="30"/>
      <c r="U403" s="30"/>
      <c r="V403" s="30"/>
      <c r="W403" s="30"/>
      <c r="X403" s="30"/>
      <c r="Y403" s="30"/>
      <c r="Z403" s="30"/>
    </row>
    <row r="404" ht="57.0" customHeight="1">
      <c r="A404" s="139" t="s">
        <v>1099</v>
      </c>
      <c r="B404" s="119" t="s">
        <v>2930</v>
      </c>
      <c r="C404" s="38" t="s">
        <v>137</v>
      </c>
      <c r="D404" s="38" t="s">
        <v>1100</v>
      </c>
      <c r="E404" s="38" t="s">
        <v>1101</v>
      </c>
      <c r="F404" s="38" t="s">
        <v>861</v>
      </c>
      <c r="G404" s="140">
        <v>40954.0</v>
      </c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30"/>
      <c r="T404" s="30"/>
      <c r="U404" s="30"/>
      <c r="V404" s="30"/>
      <c r="W404" s="30"/>
      <c r="X404" s="30"/>
      <c r="Y404" s="30"/>
      <c r="Z404" s="30"/>
    </row>
    <row r="405" ht="38.25" customHeight="1">
      <c r="A405" s="135" t="s">
        <v>1102</v>
      </c>
      <c r="B405" s="136" t="s">
        <v>2931</v>
      </c>
      <c r="C405" s="137" t="s">
        <v>33</v>
      </c>
      <c r="D405" s="137" t="s">
        <v>1103</v>
      </c>
      <c r="E405" s="137" t="s">
        <v>1104</v>
      </c>
      <c r="F405" s="137" t="s">
        <v>64</v>
      </c>
      <c r="G405" s="138">
        <v>40955.0</v>
      </c>
      <c r="H405" s="29" t="s">
        <v>2771</v>
      </c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30"/>
      <c r="T405" s="30"/>
      <c r="U405" s="30"/>
      <c r="V405" s="30"/>
      <c r="W405" s="30"/>
      <c r="X405" s="30"/>
      <c r="Y405" s="30"/>
      <c r="Z405" s="30"/>
    </row>
    <row r="406" ht="51.0" customHeight="1">
      <c r="A406" s="139" t="s">
        <v>1105</v>
      </c>
      <c r="B406" s="119" t="s">
        <v>2932</v>
      </c>
      <c r="C406" s="38" t="s">
        <v>747</v>
      </c>
      <c r="D406" s="38" t="s">
        <v>1106</v>
      </c>
      <c r="E406" s="38" t="s">
        <v>1107</v>
      </c>
      <c r="F406" s="38" t="s">
        <v>244</v>
      </c>
      <c r="G406" s="140">
        <v>40955.0</v>
      </c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30"/>
      <c r="T406" s="30"/>
      <c r="U406" s="30"/>
      <c r="V406" s="30"/>
      <c r="W406" s="30"/>
      <c r="X406" s="30"/>
      <c r="Y406" s="30"/>
      <c r="Z406" s="30"/>
    </row>
    <row r="407" ht="63.75" customHeight="1">
      <c r="A407" s="135" t="s">
        <v>1108</v>
      </c>
      <c r="B407" s="136" t="s">
        <v>2933</v>
      </c>
      <c r="C407" s="137" t="s">
        <v>18</v>
      </c>
      <c r="D407" s="137" t="s">
        <v>1109</v>
      </c>
      <c r="E407" s="137" t="s">
        <v>1110</v>
      </c>
      <c r="F407" s="137" t="s">
        <v>64</v>
      </c>
      <c r="G407" s="138">
        <v>40590.0</v>
      </c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30"/>
      <c r="T407" s="30"/>
      <c r="U407" s="30"/>
      <c r="V407" s="30"/>
      <c r="W407" s="30"/>
      <c r="X407" s="30"/>
      <c r="Y407" s="30"/>
      <c r="Z407" s="30"/>
    </row>
    <row r="408" ht="38.25" customHeight="1">
      <c r="A408" s="139" t="s">
        <v>1111</v>
      </c>
      <c r="B408" s="119" t="s">
        <v>2934</v>
      </c>
      <c r="C408" s="38" t="s">
        <v>167</v>
      </c>
      <c r="D408" s="38" t="s">
        <v>1112</v>
      </c>
      <c r="E408" s="38" t="s">
        <v>1113</v>
      </c>
      <c r="F408" s="38" t="s">
        <v>244</v>
      </c>
      <c r="G408" s="140">
        <v>40948.0</v>
      </c>
      <c r="H408" s="29" t="s">
        <v>2771</v>
      </c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30"/>
      <c r="T408" s="30"/>
      <c r="U408" s="30"/>
      <c r="V408" s="30"/>
      <c r="W408" s="30"/>
      <c r="X408" s="30"/>
      <c r="Y408" s="30"/>
      <c r="Z408" s="30"/>
    </row>
    <row r="409" ht="51.0" customHeight="1">
      <c r="A409" s="135" t="s">
        <v>1114</v>
      </c>
      <c r="B409" s="136" t="s">
        <v>2935</v>
      </c>
      <c r="C409" s="137" t="s">
        <v>61</v>
      </c>
      <c r="D409" s="137" t="s">
        <v>1115</v>
      </c>
      <c r="E409" s="137" t="s">
        <v>1116</v>
      </c>
      <c r="F409" s="137" t="s">
        <v>685</v>
      </c>
      <c r="G409" s="138">
        <v>40952.0</v>
      </c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30"/>
      <c r="T409" s="30"/>
      <c r="U409" s="30"/>
      <c r="V409" s="30"/>
      <c r="W409" s="30"/>
      <c r="X409" s="30"/>
      <c r="Y409" s="30"/>
      <c r="Z409" s="30"/>
    </row>
    <row r="410" ht="51.0" customHeight="1">
      <c r="A410" s="139" t="s">
        <v>1117</v>
      </c>
      <c r="B410" s="119" t="s">
        <v>2936</v>
      </c>
      <c r="C410" s="38" t="s">
        <v>28</v>
      </c>
      <c r="D410" s="38" t="s">
        <v>1118</v>
      </c>
      <c r="E410" s="38" t="s">
        <v>1119</v>
      </c>
      <c r="F410" s="38" t="s">
        <v>31</v>
      </c>
      <c r="G410" s="140">
        <v>40954.0</v>
      </c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30"/>
      <c r="T410" s="30"/>
      <c r="U410" s="30"/>
      <c r="V410" s="30"/>
      <c r="W410" s="30"/>
      <c r="X410" s="30"/>
      <c r="Y410" s="30"/>
      <c r="Z410" s="30"/>
    </row>
    <row r="411" ht="51.0" customHeight="1">
      <c r="A411" s="135" t="s">
        <v>1120</v>
      </c>
      <c r="B411" s="136" t="s">
        <v>2937</v>
      </c>
      <c r="C411" s="137" t="s">
        <v>1121</v>
      </c>
      <c r="D411" s="137" t="s">
        <v>1122</v>
      </c>
      <c r="E411" s="137" t="s">
        <v>1123</v>
      </c>
      <c r="F411" s="137" t="s">
        <v>1124</v>
      </c>
      <c r="G411" s="138">
        <v>41262.0</v>
      </c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30"/>
      <c r="T411" s="30"/>
      <c r="U411" s="30"/>
      <c r="V411" s="30"/>
      <c r="W411" s="30"/>
      <c r="X411" s="30"/>
      <c r="Y411" s="30"/>
      <c r="Z411" s="30"/>
    </row>
    <row r="412" ht="51.0" customHeight="1">
      <c r="A412" s="139" t="s">
        <v>1125</v>
      </c>
      <c r="B412" s="119" t="s">
        <v>2938</v>
      </c>
      <c r="C412" s="38" t="s">
        <v>1022</v>
      </c>
      <c r="D412" s="38" t="s">
        <v>1126</v>
      </c>
      <c r="E412" s="38" t="s">
        <v>1127</v>
      </c>
      <c r="F412" s="38" t="s">
        <v>356</v>
      </c>
      <c r="G412" s="140">
        <v>40953.0</v>
      </c>
      <c r="H412" s="29" t="s">
        <v>2771</v>
      </c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30"/>
      <c r="T412" s="30"/>
      <c r="U412" s="30"/>
      <c r="V412" s="30"/>
      <c r="W412" s="30"/>
      <c r="X412" s="30"/>
      <c r="Y412" s="30"/>
      <c r="Z412" s="30"/>
    </row>
    <row r="413" ht="63.75" customHeight="1">
      <c r="A413" s="135" t="s">
        <v>1128</v>
      </c>
      <c r="B413" s="136" t="s">
        <v>2939</v>
      </c>
      <c r="C413" s="137" t="s">
        <v>23</v>
      </c>
      <c r="D413" s="137" t="s">
        <v>1129</v>
      </c>
      <c r="E413" s="137" t="s">
        <v>1130</v>
      </c>
      <c r="F413" s="137" t="s">
        <v>232</v>
      </c>
      <c r="G413" s="138">
        <v>40953.0</v>
      </c>
      <c r="H413" s="29" t="s">
        <v>2771</v>
      </c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30"/>
      <c r="T413" s="30"/>
      <c r="U413" s="30"/>
      <c r="V413" s="30"/>
      <c r="W413" s="30"/>
      <c r="X413" s="30"/>
      <c r="Y413" s="30"/>
      <c r="Z413" s="30"/>
    </row>
    <row r="414" ht="28.5" customHeight="1">
      <c r="A414" s="139" t="s">
        <v>1131</v>
      </c>
      <c r="B414" s="119" t="s">
        <v>2940</v>
      </c>
      <c r="C414" s="38" t="s">
        <v>61</v>
      </c>
      <c r="D414" s="38" t="s">
        <v>1132</v>
      </c>
      <c r="E414" s="38" t="s">
        <v>1133</v>
      </c>
      <c r="F414" s="38" t="s">
        <v>540</v>
      </c>
      <c r="G414" s="140">
        <v>40952.0</v>
      </c>
      <c r="H414" s="29" t="s">
        <v>2771</v>
      </c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30"/>
      <c r="T414" s="30"/>
      <c r="U414" s="30"/>
      <c r="V414" s="30"/>
      <c r="W414" s="30"/>
      <c r="X414" s="30"/>
      <c r="Y414" s="30"/>
      <c r="Z414" s="30"/>
    </row>
    <row r="415" ht="51.0" customHeight="1">
      <c r="A415" s="135" t="s">
        <v>1134</v>
      </c>
      <c r="B415" s="136" t="s">
        <v>2941</v>
      </c>
      <c r="C415" s="137" t="s">
        <v>43</v>
      </c>
      <c r="D415" s="137" t="s">
        <v>1135</v>
      </c>
      <c r="E415" s="137" t="s">
        <v>1136</v>
      </c>
      <c r="F415" s="137" t="s">
        <v>685</v>
      </c>
      <c r="G415" s="138">
        <v>40954.0</v>
      </c>
      <c r="H415" s="29" t="s">
        <v>2771</v>
      </c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30"/>
      <c r="T415" s="30"/>
      <c r="U415" s="30"/>
      <c r="V415" s="30"/>
      <c r="W415" s="30"/>
      <c r="X415" s="30"/>
      <c r="Y415" s="30"/>
      <c r="Z415" s="30"/>
    </row>
    <row r="416" ht="51.0" customHeight="1">
      <c r="A416" s="139" t="s">
        <v>1137</v>
      </c>
      <c r="B416" s="119" t="s">
        <v>2942</v>
      </c>
      <c r="C416" s="38" t="s">
        <v>116</v>
      </c>
      <c r="D416" s="38" t="s">
        <v>1138</v>
      </c>
      <c r="E416" s="38" t="s">
        <v>1139</v>
      </c>
      <c r="F416" s="38" t="s">
        <v>73</v>
      </c>
      <c r="G416" s="140">
        <v>40945.0</v>
      </c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30"/>
      <c r="T416" s="30"/>
      <c r="U416" s="30"/>
      <c r="V416" s="30"/>
      <c r="W416" s="30"/>
      <c r="X416" s="30"/>
      <c r="Y416" s="30"/>
      <c r="Z416" s="30"/>
    </row>
    <row r="417" ht="63.75" customHeight="1">
      <c r="A417" s="135" t="s">
        <v>1140</v>
      </c>
      <c r="B417" s="136" t="s">
        <v>2943</v>
      </c>
      <c r="C417" s="137" t="s">
        <v>23</v>
      </c>
      <c r="D417" s="137" t="s">
        <v>1141</v>
      </c>
      <c r="E417" s="137" t="s">
        <v>1142</v>
      </c>
      <c r="F417" s="137" t="s">
        <v>476</v>
      </c>
      <c r="G417" s="138">
        <v>41093.0</v>
      </c>
      <c r="H417" s="29" t="s">
        <v>2771</v>
      </c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30"/>
      <c r="T417" s="30"/>
      <c r="U417" s="30"/>
      <c r="V417" s="30"/>
      <c r="W417" s="30"/>
      <c r="X417" s="30"/>
      <c r="Y417" s="30"/>
      <c r="Z417" s="30"/>
    </row>
    <row r="418" ht="57.0" customHeight="1">
      <c r="A418" s="139" t="s">
        <v>1143</v>
      </c>
      <c r="B418" s="119" t="s">
        <v>2944</v>
      </c>
      <c r="C418" s="38" t="s">
        <v>311</v>
      </c>
      <c r="D418" s="38" t="s">
        <v>1144</v>
      </c>
      <c r="E418" s="38" t="s">
        <v>1145</v>
      </c>
      <c r="F418" s="38" t="s">
        <v>162</v>
      </c>
      <c r="G418" s="140">
        <v>40948.0</v>
      </c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30"/>
      <c r="T418" s="30"/>
      <c r="U418" s="30"/>
      <c r="V418" s="30"/>
      <c r="W418" s="30"/>
      <c r="X418" s="30"/>
      <c r="Y418" s="30"/>
      <c r="Z418" s="30"/>
    </row>
    <row r="419" ht="51.0" customHeight="1">
      <c r="A419" s="135" t="s">
        <v>1146</v>
      </c>
      <c r="B419" s="136" t="s">
        <v>2945</v>
      </c>
      <c r="C419" s="137" t="s">
        <v>116</v>
      </c>
      <c r="D419" s="137" t="s">
        <v>1147</v>
      </c>
      <c r="E419" s="137" t="s">
        <v>1148</v>
      </c>
      <c r="F419" s="137" t="s">
        <v>473</v>
      </c>
      <c r="G419" s="138">
        <v>40954.0</v>
      </c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30"/>
      <c r="T419" s="30"/>
      <c r="U419" s="30"/>
      <c r="V419" s="30"/>
      <c r="W419" s="30"/>
      <c r="X419" s="30"/>
      <c r="Y419" s="30"/>
      <c r="Z419" s="30"/>
    </row>
    <row r="420" ht="42.75" customHeight="1">
      <c r="A420" s="198" t="s">
        <v>1149</v>
      </c>
      <c r="B420" s="119" t="s">
        <v>2946</v>
      </c>
      <c r="C420" s="38" t="s">
        <v>1150</v>
      </c>
      <c r="D420" s="38" t="s">
        <v>1151</v>
      </c>
      <c r="E420" s="38" t="s">
        <v>1152</v>
      </c>
      <c r="F420" s="38" t="s">
        <v>1083</v>
      </c>
      <c r="G420" s="140">
        <v>41473.0</v>
      </c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30"/>
      <c r="T420" s="30"/>
      <c r="U420" s="30"/>
      <c r="V420" s="30"/>
      <c r="W420" s="30"/>
      <c r="X420" s="30"/>
      <c r="Y420" s="30"/>
      <c r="Z420" s="30"/>
    </row>
    <row r="421" ht="42.75" customHeight="1">
      <c r="A421" s="135" t="s">
        <v>1153</v>
      </c>
      <c r="B421" s="136" t="s">
        <v>2947</v>
      </c>
      <c r="C421" s="137" t="s">
        <v>61</v>
      </c>
      <c r="D421" s="137" t="s">
        <v>1154</v>
      </c>
      <c r="E421" s="137" t="s">
        <v>1155</v>
      </c>
      <c r="F421" s="137" t="s">
        <v>31</v>
      </c>
      <c r="G421" s="138">
        <v>40587.0</v>
      </c>
      <c r="H421" s="29" t="s">
        <v>2771</v>
      </c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30"/>
      <c r="T421" s="30"/>
      <c r="U421" s="30"/>
      <c r="V421" s="30"/>
      <c r="W421" s="30"/>
      <c r="X421" s="30"/>
      <c r="Y421" s="30"/>
      <c r="Z421" s="30"/>
    </row>
    <row r="422" ht="57.0" customHeight="1">
      <c r="A422" s="139" t="s">
        <v>1156</v>
      </c>
      <c r="B422" s="119" t="s">
        <v>2948</v>
      </c>
      <c r="C422" s="38" t="s">
        <v>23</v>
      </c>
      <c r="D422" s="38" t="s">
        <v>1157</v>
      </c>
      <c r="E422" s="38" t="s">
        <v>1158</v>
      </c>
      <c r="F422" s="38" t="s">
        <v>685</v>
      </c>
      <c r="G422" s="140">
        <v>41263.0</v>
      </c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30"/>
      <c r="T422" s="30"/>
      <c r="U422" s="30"/>
      <c r="V422" s="30"/>
      <c r="W422" s="30"/>
      <c r="X422" s="30"/>
      <c r="Y422" s="30"/>
      <c r="Z422" s="30"/>
    </row>
    <row r="423" ht="42.75" customHeight="1">
      <c r="A423" s="135" t="s">
        <v>1159</v>
      </c>
      <c r="B423" s="136" t="s">
        <v>2949</v>
      </c>
      <c r="C423" s="137" t="s">
        <v>301</v>
      </c>
      <c r="D423" s="137" t="s">
        <v>1160</v>
      </c>
      <c r="E423" s="137" t="s">
        <v>1161</v>
      </c>
      <c r="F423" s="137" t="s">
        <v>1020</v>
      </c>
      <c r="G423" s="138">
        <v>41260.0</v>
      </c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30"/>
      <c r="T423" s="30"/>
      <c r="U423" s="30"/>
      <c r="V423" s="30"/>
      <c r="W423" s="30"/>
      <c r="X423" s="30"/>
      <c r="Y423" s="30"/>
      <c r="Z423" s="30"/>
    </row>
    <row r="424" ht="57.0" customHeight="1">
      <c r="A424" s="139" t="s">
        <v>1162</v>
      </c>
      <c r="B424" s="119" t="s">
        <v>2950</v>
      </c>
      <c r="C424" s="38" t="s">
        <v>1022</v>
      </c>
      <c r="D424" s="38" t="s">
        <v>1163</v>
      </c>
      <c r="E424" s="38" t="s">
        <v>1164</v>
      </c>
      <c r="F424" s="38" t="s">
        <v>947</v>
      </c>
      <c r="G424" s="140">
        <v>41107.0</v>
      </c>
      <c r="H424" s="29" t="s">
        <v>2771</v>
      </c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30"/>
      <c r="T424" s="30"/>
      <c r="U424" s="30"/>
      <c r="V424" s="30"/>
      <c r="W424" s="30"/>
      <c r="X424" s="30"/>
      <c r="Y424" s="30"/>
      <c r="Z424" s="30"/>
    </row>
    <row r="425" ht="51.0" customHeight="1">
      <c r="A425" s="135" t="s">
        <v>1165</v>
      </c>
      <c r="B425" s="136" t="s">
        <v>2951</v>
      </c>
      <c r="C425" s="137" t="s">
        <v>1166</v>
      </c>
      <c r="D425" s="137" t="s">
        <v>1167</v>
      </c>
      <c r="E425" s="137" t="s">
        <v>1168</v>
      </c>
      <c r="F425" s="137" t="s">
        <v>147</v>
      </c>
      <c r="G425" s="138">
        <v>41256.0</v>
      </c>
      <c r="H425" s="29" t="s">
        <v>2771</v>
      </c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30"/>
      <c r="T425" s="30"/>
      <c r="U425" s="30"/>
      <c r="V425" s="30"/>
      <c r="W425" s="30"/>
      <c r="X425" s="30"/>
      <c r="Y425" s="30"/>
      <c r="Z425" s="30"/>
    </row>
    <row r="426" ht="38.25" customHeight="1">
      <c r="A426" s="139" t="s">
        <v>1169</v>
      </c>
      <c r="B426" s="119" t="s">
        <v>2952</v>
      </c>
      <c r="C426" s="38" t="s">
        <v>13</v>
      </c>
      <c r="D426" s="38" t="s">
        <v>1170</v>
      </c>
      <c r="E426" s="38" t="s">
        <v>1171</v>
      </c>
      <c r="F426" s="38" t="s">
        <v>105</v>
      </c>
      <c r="G426" s="140">
        <v>40954.0</v>
      </c>
      <c r="H426" s="29" t="s">
        <v>2771</v>
      </c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30"/>
      <c r="T426" s="30"/>
      <c r="U426" s="30"/>
      <c r="V426" s="30"/>
      <c r="W426" s="30"/>
      <c r="X426" s="30"/>
      <c r="Y426" s="30"/>
      <c r="Z426" s="30"/>
    </row>
    <row r="427" ht="42.75" customHeight="1">
      <c r="A427" s="135" t="s">
        <v>1172</v>
      </c>
      <c r="B427" s="136" t="s">
        <v>2953</v>
      </c>
      <c r="C427" s="137" t="s">
        <v>1173</v>
      </c>
      <c r="D427" s="137" t="s">
        <v>1174</v>
      </c>
      <c r="E427" s="137" t="s">
        <v>1175</v>
      </c>
      <c r="F427" s="137" t="s">
        <v>1124</v>
      </c>
      <c r="G427" s="138">
        <v>41121.0</v>
      </c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30"/>
      <c r="T427" s="30"/>
      <c r="U427" s="30"/>
      <c r="V427" s="30"/>
      <c r="W427" s="30"/>
      <c r="X427" s="30"/>
      <c r="Y427" s="30"/>
      <c r="Z427" s="30"/>
    </row>
    <row r="428" ht="51.0" customHeight="1">
      <c r="A428" s="139" t="s">
        <v>2954</v>
      </c>
      <c r="B428" s="119" t="s">
        <v>2955</v>
      </c>
      <c r="C428" s="38" t="s">
        <v>116</v>
      </c>
      <c r="D428" s="38" t="s">
        <v>1176</v>
      </c>
      <c r="E428" s="38" t="s">
        <v>1177</v>
      </c>
      <c r="F428" s="38" t="s">
        <v>147</v>
      </c>
      <c r="G428" s="140">
        <v>41243.0</v>
      </c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30"/>
      <c r="T428" s="30"/>
      <c r="U428" s="30"/>
      <c r="V428" s="30"/>
      <c r="W428" s="30"/>
      <c r="X428" s="30"/>
      <c r="Y428" s="30"/>
      <c r="Z428" s="30"/>
    </row>
    <row r="429" ht="51.0" customHeight="1">
      <c r="A429" s="139" t="s">
        <v>2956</v>
      </c>
      <c r="B429" s="119" t="s">
        <v>2957</v>
      </c>
      <c r="C429" s="38" t="s">
        <v>137</v>
      </c>
      <c r="D429" s="38" t="s">
        <v>1178</v>
      </c>
      <c r="E429" s="38" t="s">
        <v>1179</v>
      </c>
      <c r="F429" s="38"/>
      <c r="G429" s="140">
        <v>41263.0</v>
      </c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30"/>
      <c r="T429" s="30"/>
      <c r="U429" s="30"/>
      <c r="V429" s="30"/>
      <c r="W429" s="30"/>
      <c r="X429" s="30"/>
      <c r="Y429" s="30"/>
      <c r="Z429" s="30"/>
    </row>
    <row r="430" ht="51.75" customHeight="1">
      <c r="A430" s="203" t="s">
        <v>2958</v>
      </c>
      <c r="B430" s="204" t="s">
        <v>2959</v>
      </c>
      <c r="C430" s="205" t="s">
        <v>137</v>
      </c>
      <c r="D430" s="205" t="s">
        <v>1180</v>
      </c>
      <c r="E430" s="137" t="s">
        <v>1181</v>
      </c>
      <c r="F430" s="205"/>
      <c r="G430" s="206">
        <v>41263.0</v>
      </c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30"/>
      <c r="T430" s="30"/>
      <c r="U430" s="30"/>
      <c r="V430" s="30"/>
      <c r="W430" s="30"/>
      <c r="X430" s="30"/>
      <c r="Y430" s="30"/>
      <c r="Z430" s="30"/>
    </row>
    <row r="431" ht="38.25" customHeight="1">
      <c r="A431" s="131" t="s">
        <v>1182</v>
      </c>
      <c r="B431" s="132" t="s">
        <v>2960</v>
      </c>
      <c r="C431" s="133" t="s">
        <v>252</v>
      </c>
      <c r="D431" s="133" t="s">
        <v>1183</v>
      </c>
      <c r="E431" s="133" t="s">
        <v>1184</v>
      </c>
      <c r="F431" s="133" t="s">
        <v>1185</v>
      </c>
      <c r="G431" s="134">
        <v>41621.0</v>
      </c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30"/>
      <c r="T431" s="30"/>
      <c r="U431" s="30"/>
      <c r="V431" s="30"/>
      <c r="W431" s="30"/>
      <c r="X431" s="30"/>
      <c r="Y431" s="30"/>
      <c r="Z431" s="30"/>
    </row>
    <row r="432" ht="63.75" customHeight="1">
      <c r="A432" s="135" t="s">
        <v>1186</v>
      </c>
      <c r="B432" s="136" t="s">
        <v>2961</v>
      </c>
      <c r="C432" s="137" t="s">
        <v>1187</v>
      </c>
      <c r="D432" s="137" t="s">
        <v>1188</v>
      </c>
      <c r="E432" s="137" t="s">
        <v>1189</v>
      </c>
      <c r="F432" s="137" t="s">
        <v>205</v>
      </c>
      <c r="G432" s="138">
        <v>41624.0</v>
      </c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30"/>
      <c r="T432" s="30"/>
      <c r="U432" s="30"/>
      <c r="V432" s="30"/>
      <c r="W432" s="30"/>
      <c r="X432" s="30"/>
      <c r="Y432" s="30"/>
      <c r="Z432" s="30"/>
    </row>
    <row r="433" ht="57.0" customHeight="1">
      <c r="A433" s="139" t="s">
        <v>1190</v>
      </c>
      <c r="B433" s="119" t="s">
        <v>2962</v>
      </c>
      <c r="C433" s="38" t="s">
        <v>116</v>
      </c>
      <c r="D433" s="38" t="s">
        <v>1191</v>
      </c>
      <c r="E433" s="38" t="s">
        <v>1192</v>
      </c>
      <c r="F433" s="38" t="s">
        <v>963</v>
      </c>
      <c r="G433" s="140">
        <v>41445.0</v>
      </c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30"/>
      <c r="T433" s="30"/>
      <c r="U433" s="30"/>
      <c r="V433" s="30"/>
      <c r="W433" s="30"/>
      <c r="X433" s="30"/>
      <c r="Y433" s="30"/>
      <c r="Z433" s="30"/>
    </row>
    <row r="434" ht="51.0" customHeight="1">
      <c r="A434" s="135" t="s">
        <v>1193</v>
      </c>
      <c r="B434" s="136" t="s">
        <v>2963</v>
      </c>
      <c r="C434" s="137" t="s">
        <v>234</v>
      </c>
      <c r="D434" s="137" t="s">
        <v>1194</v>
      </c>
      <c r="E434" s="137" t="s">
        <v>1195</v>
      </c>
      <c r="F434" s="137" t="s">
        <v>26</v>
      </c>
      <c r="G434" s="138">
        <v>41612.0</v>
      </c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30"/>
      <c r="T434" s="30"/>
      <c r="U434" s="30"/>
      <c r="V434" s="30"/>
      <c r="W434" s="30"/>
      <c r="X434" s="30"/>
      <c r="Y434" s="30"/>
      <c r="Z434" s="30"/>
    </row>
    <row r="435" ht="42.75" customHeight="1">
      <c r="A435" s="139" t="s">
        <v>1196</v>
      </c>
      <c r="B435" s="119" t="s">
        <v>2964</v>
      </c>
      <c r="C435" s="38" t="s">
        <v>234</v>
      </c>
      <c r="D435" s="38" t="s">
        <v>1197</v>
      </c>
      <c r="E435" s="38" t="s">
        <v>1198</v>
      </c>
      <c r="F435" s="38" t="s">
        <v>26</v>
      </c>
      <c r="G435" s="140">
        <v>41620.0</v>
      </c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30"/>
      <c r="T435" s="30"/>
      <c r="U435" s="30"/>
      <c r="V435" s="30"/>
      <c r="W435" s="30"/>
      <c r="X435" s="30"/>
      <c r="Y435" s="30"/>
      <c r="Z435" s="30"/>
    </row>
    <row r="436" ht="42.75" customHeight="1">
      <c r="A436" s="135" t="s">
        <v>1199</v>
      </c>
      <c r="B436" s="136" t="s">
        <v>2965</v>
      </c>
      <c r="C436" s="137" t="s">
        <v>52</v>
      </c>
      <c r="D436" s="137" t="s">
        <v>1200</v>
      </c>
      <c r="E436" s="137" t="s">
        <v>1201</v>
      </c>
      <c r="F436" s="137" t="s">
        <v>26</v>
      </c>
      <c r="G436" s="138">
        <v>41687.0</v>
      </c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30"/>
      <c r="T436" s="30"/>
      <c r="U436" s="30"/>
      <c r="V436" s="30"/>
      <c r="W436" s="30"/>
      <c r="X436" s="30"/>
      <c r="Y436" s="30"/>
      <c r="Z436" s="30"/>
    </row>
    <row r="437" ht="28.5" customHeight="1">
      <c r="A437" s="139" t="s">
        <v>1202</v>
      </c>
      <c r="B437" s="119" t="s">
        <v>2966</v>
      </c>
      <c r="C437" s="38" t="s">
        <v>47</v>
      </c>
      <c r="D437" s="38" t="s">
        <v>1203</v>
      </c>
      <c r="E437" s="38" t="s">
        <v>1204</v>
      </c>
      <c r="F437" s="38" t="s">
        <v>73</v>
      </c>
      <c r="G437" s="140">
        <v>41617.0</v>
      </c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30"/>
      <c r="T437" s="30"/>
      <c r="U437" s="30"/>
      <c r="V437" s="30"/>
      <c r="W437" s="30"/>
      <c r="X437" s="30"/>
      <c r="Y437" s="30"/>
      <c r="Z437" s="30"/>
    </row>
    <row r="438" ht="38.25" customHeight="1">
      <c r="A438" s="135" t="s">
        <v>1205</v>
      </c>
      <c r="B438" s="136" t="s">
        <v>2967</v>
      </c>
      <c r="C438" s="137" t="s">
        <v>61</v>
      </c>
      <c r="D438" s="137" t="s">
        <v>1206</v>
      </c>
      <c r="E438" s="137" t="s">
        <v>1207</v>
      </c>
      <c r="F438" s="137" t="s">
        <v>114</v>
      </c>
      <c r="G438" s="138">
        <v>41452.0</v>
      </c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30"/>
      <c r="T438" s="30"/>
      <c r="U438" s="30"/>
      <c r="V438" s="30"/>
      <c r="W438" s="30"/>
      <c r="X438" s="30"/>
      <c r="Y438" s="30"/>
      <c r="Z438" s="30"/>
    </row>
    <row r="439" ht="38.25" customHeight="1">
      <c r="A439" s="139" t="s">
        <v>1208</v>
      </c>
      <c r="B439" s="119" t="s">
        <v>2968</v>
      </c>
      <c r="C439" s="38" t="s">
        <v>116</v>
      </c>
      <c r="D439" s="38" t="s">
        <v>1209</v>
      </c>
      <c r="E439" s="38" t="s">
        <v>1210</v>
      </c>
      <c r="F439" s="38" t="s">
        <v>947</v>
      </c>
      <c r="G439" s="140">
        <v>41617.0</v>
      </c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30"/>
      <c r="T439" s="30"/>
      <c r="U439" s="30"/>
      <c r="V439" s="30"/>
      <c r="W439" s="30"/>
      <c r="X439" s="30"/>
      <c r="Y439" s="30"/>
      <c r="Z439" s="30"/>
    </row>
    <row r="440" ht="51.0" customHeight="1">
      <c r="A440" s="135" t="s">
        <v>1211</v>
      </c>
      <c r="B440" s="136" t="s">
        <v>2969</v>
      </c>
      <c r="C440" s="137" t="s">
        <v>116</v>
      </c>
      <c r="D440" s="137" t="s">
        <v>1212</v>
      </c>
      <c r="E440" s="137" t="s">
        <v>1213</v>
      </c>
      <c r="F440" s="137" t="s">
        <v>1185</v>
      </c>
      <c r="G440" s="138">
        <v>41621.0</v>
      </c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30"/>
      <c r="T440" s="30"/>
      <c r="U440" s="30"/>
      <c r="V440" s="30"/>
      <c r="W440" s="30"/>
      <c r="X440" s="30"/>
      <c r="Y440" s="30"/>
      <c r="Z440" s="30"/>
    </row>
    <row r="441" ht="38.25" customHeight="1">
      <c r="A441" s="139" t="s">
        <v>1214</v>
      </c>
      <c r="B441" s="119" t="s">
        <v>2970</v>
      </c>
      <c r="C441" s="38" t="s">
        <v>1022</v>
      </c>
      <c r="D441" s="38" t="s">
        <v>1215</v>
      </c>
      <c r="E441" s="38" t="s">
        <v>1216</v>
      </c>
      <c r="F441" s="38" t="s">
        <v>184</v>
      </c>
      <c r="G441" s="140">
        <v>41620.0</v>
      </c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30"/>
      <c r="T441" s="30"/>
      <c r="U441" s="30"/>
      <c r="V441" s="30"/>
      <c r="W441" s="30"/>
      <c r="X441" s="30"/>
      <c r="Y441" s="30"/>
      <c r="Z441" s="30"/>
    </row>
    <row r="442" ht="42.75" customHeight="1">
      <c r="A442" s="135" t="s">
        <v>1217</v>
      </c>
      <c r="B442" s="136" t="s">
        <v>2971</v>
      </c>
      <c r="C442" s="137" t="s">
        <v>13</v>
      </c>
      <c r="D442" s="137" t="s">
        <v>1218</v>
      </c>
      <c r="E442" s="137" t="s">
        <v>1219</v>
      </c>
      <c r="F442" s="137" t="s">
        <v>356</v>
      </c>
      <c r="G442" s="138">
        <v>41621.0</v>
      </c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30"/>
      <c r="T442" s="30"/>
      <c r="U442" s="30"/>
      <c r="V442" s="30"/>
      <c r="W442" s="30"/>
      <c r="X442" s="30"/>
      <c r="Y442" s="30"/>
      <c r="Z442" s="30"/>
    </row>
    <row r="443" ht="57.0" customHeight="1">
      <c r="A443" s="139" t="s">
        <v>1220</v>
      </c>
      <c r="B443" s="119" t="s">
        <v>2972</v>
      </c>
      <c r="C443" s="38" t="s">
        <v>61</v>
      </c>
      <c r="D443" s="38" t="s">
        <v>1221</v>
      </c>
      <c r="E443" s="38" t="s">
        <v>1222</v>
      </c>
      <c r="F443" s="38" t="s">
        <v>184</v>
      </c>
      <c r="G443" s="140">
        <v>41624.0</v>
      </c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30"/>
      <c r="T443" s="30"/>
      <c r="U443" s="30"/>
      <c r="V443" s="30"/>
      <c r="W443" s="30"/>
      <c r="X443" s="30"/>
      <c r="Y443" s="30"/>
      <c r="Z443" s="30"/>
    </row>
    <row r="444" ht="28.5" customHeight="1">
      <c r="A444" s="135" t="s">
        <v>1223</v>
      </c>
      <c r="B444" s="136" t="s">
        <v>2973</v>
      </c>
      <c r="C444" s="137" t="s">
        <v>767</v>
      </c>
      <c r="D444" s="137" t="s">
        <v>1224</v>
      </c>
      <c r="E444" s="137" t="s">
        <v>1225</v>
      </c>
      <c r="F444" s="137" t="s">
        <v>1044</v>
      </c>
      <c r="G444" s="138">
        <v>41621.0</v>
      </c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30"/>
      <c r="T444" s="30"/>
      <c r="U444" s="30"/>
      <c r="V444" s="30"/>
      <c r="W444" s="30"/>
      <c r="X444" s="30"/>
      <c r="Y444" s="30"/>
      <c r="Z444" s="30"/>
    </row>
    <row r="445" ht="42.75" customHeight="1">
      <c r="A445" s="139" t="s">
        <v>1226</v>
      </c>
      <c r="B445" s="119" t="s">
        <v>2974</v>
      </c>
      <c r="C445" s="38" t="s">
        <v>18</v>
      </c>
      <c r="D445" s="38" t="s">
        <v>1227</v>
      </c>
      <c r="E445" s="38" t="s">
        <v>1228</v>
      </c>
      <c r="F445" s="38" t="s">
        <v>184</v>
      </c>
      <c r="G445" s="140">
        <v>41624.0</v>
      </c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30"/>
      <c r="T445" s="30"/>
      <c r="U445" s="30"/>
      <c r="V445" s="30"/>
      <c r="W445" s="30"/>
      <c r="X445" s="30"/>
      <c r="Y445" s="30"/>
      <c r="Z445" s="30"/>
    </row>
    <row r="446" ht="63.75" customHeight="1">
      <c r="A446" s="135" t="s">
        <v>1229</v>
      </c>
      <c r="B446" s="136" t="s">
        <v>2975</v>
      </c>
      <c r="C446" s="137" t="s">
        <v>13</v>
      </c>
      <c r="D446" s="137" t="s">
        <v>1230</v>
      </c>
      <c r="E446" s="137" t="s">
        <v>1231</v>
      </c>
      <c r="F446" s="137" t="s">
        <v>356</v>
      </c>
      <c r="G446" s="138">
        <v>41451.0</v>
      </c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30"/>
      <c r="T446" s="30"/>
      <c r="U446" s="30"/>
      <c r="V446" s="30"/>
      <c r="W446" s="30"/>
      <c r="X446" s="30"/>
      <c r="Y446" s="30"/>
      <c r="Z446" s="30"/>
    </row>
    <row r="447" ht="28.5" customHeight="1">
      <c r="A447" s="139" t="s">
        <v>1232</v>
      </c>
      <c r="B447" s="119" t="s">
        <v>2976</v>
      </c>
      <c r="C447" s="38" t="s">
        <v>70</v>
      </c>
      <c r="D447" s="38" t="s">
        <v>1233</v>
      </c>
      <c r="E447" s="38" t="s">
        <v>1234</v>
      </c>
      <c r="F447" s="38" t="s">
        <v>184</v>
      </c>
      <c r="G447" s="140">
        <v>41624.0</v>
      </c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30"/>
      <c r="T447" s="30"/>
      <c r="U447" s="30"/>
      <c r="V447" s="30"/>
      <c r="W447" s="30"/>
      <c r="X447" s="30"/>
      <c r="Y447" s="30"/>
      <c r="Z447" s="30"/>
    </row>
    <row r="448" ht="38.25" customHeight="1">
      <c r="A448" s="135" t="s">
        <v>1235</v>
      </c>
      <c r="B448" s="136" t="s">
        <v>2977</v>
      </c>
      <c r="C448" s="137" t="s">
        <v>137</v>
      </c>
      <c r="D448" s="137" t="s">
        <v>1236</v>
      </c>
      <c r="E448" s="137" t="s">
        <v>1237</v>
      </c>
      <c r="F448" s="137" t="s">
        <v>861</v>
      </c>
      <c r="G448" s="138">
        <v>41617.0</v>
      </c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30"/>
      <c r="T448" s="30"/>
      <c r="U448" s="30"/>
      <c r="V448" s="30"/>
      <c r="W448" s="30"/>
      <c r="X448" s="30"/>
      <c r="Y448" s="30"/>
      <c r="Z448" s="30"/>
    </row>
    <row r="449" ht="38.25" customHeight="1">
      <c r="A449" s="139" t="s">
        <v>1238</v>
      </c>
      <c r="B449" s="119" t="s">
        <v>2978</v>
      </c>
      <c r="C449" s="38" t="s">
        <v>767</v>
      </c>
      <c r="D449" s="38" t="s">
        <v>1239</v>
      </c>
      <c r="E449" s="38" t="s">
        <v>1240</v>
      </c>
      <c r="F449" s="38" t="s">
        <v>1044</v>
      </c>
      <c r="G449" s="140">
        <v>41450.0</v>
      </c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30"/>
      <c r="T449" s="30"/>
      <c r="U449" s="30"/>
      <c r="V449" s="30"/>
      <c r="W449" s="30"/>
      <c r="X449" s="30"/>
      <c r="Y449" s="30"/>
      <c r="Z449" s="30"/>
    </row>
    <row r="450" ht="28.5" customHeight="1">
      <c r="A450" s="135" t="s">
        <v>1241</v>
      </c>
      <c r="B450" s="136" t="s">
        <v>2979</v>
      </c>
      <c r="C450" s="137" t="s">
        <v>167</v>
      </c>
      <c r="D450" s="137" t="s">
        <v>481</v>
      </c>
      <c r="E450" s="137" t="s">
        <v>1242</v>
      </c>
      <c r="F450" s="137" t="s">
        <v>205</v>
      </c>
      <c r="G450" s="138">
        <v>41577.0</v>
      </c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30"/>
      <c r="T450" s="30"/>
      <c r="U450" s="30"/>
      <c r="V450" s="30"/>
      <c r="W450" s="30"/>
      <c r="X450" s="30"/>
      <c r="Y450" s="30"/>
      <c r="Z450" s="30"/>
    </row>
    <row r="451" ht="38.25" customHeight="1">
      <c r="A451" s="139" t="s">
        <v>1243</v>
      </c>
      <c r="B451" s="119" t="s">
        <v>2980</v>
      </c>
      <c r="C451" s="38" t="s">
        <v>61</v>
      </c>
      <c r="D451" s="38" t="s">
        <v>1244</v>
      </c>
      <c r="E451" s="38" t="s">
        <v>1245</v>
      </c>
      <c r="F451" s="38" t="s">
        <v>73</v>
      </c>
      <c r="G451" s="140">
        <v>41445.0</v>
      </c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30"/>
      <c r="T451" s="30"/>
      <c r="U451" s="30"/>
      <c r="V451" s="30"/>
      <c r="W451" s="30"/>
      <c r="X451" s="30"/>
      <c r="Y451" s="30"/>
      <c r="Z451" s="30"/>
    </row>
    <row r="452" ht="51.0" customHeight="1">
      <c r="A452" s="135" t="s">
        <v>1246</v>
      </c>
      <c r="B452" s="136" t="s">
        <v>2981</v>
      </c>
      <c r="C452" s="137" t="s">
        <v>43</v>
      </c>
      <c r="D452" s="137" t="s">
        <v>1247</v>
      </c>
      <c r="E452" s="137" t="s">
        <v>1248</v>
      </c>
      <c r="F452" s="137" t="s">
        <v>963</v>
      </c>
      <c r="G452" s="138">
        <v>41452.0</v>
      </c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30"/>
      <c r="T452" s="30"/>
      <c r="U452" s="30"/>
      <c r="V452" s="30"/>
      <c r="W452" s="30"/>
      <c r="X452" s="30"/>
      <c r="Y452" s="30"/>
      <c r="Z452" s="30"/>
    </row>
    <row r="453" ht="51.0" customHeight="1">
      <c r="A453" s="139" t="s">
        <v>1249</v>
      </c>
      <c r="B453" s="119" t="s">
        <v>2982</v>
      </c>
      <c r="C453" s="38" t="s">
        <v>1022</v>
      </c>
      <c r="D453" s="38" t="s">
        <v>1250</v>
      </c>
      <c r="E453" s="38" t="s">
        <v>1251</v>
      </c>
      <c r="F453" s="38" t="s">
        <v>861</v>
      </c>
      <c r="G453" s="140">
        <v>41452.0</v>
      </c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30"/>
      <c r="T453" s="30"/>
      <c r="U453" s="30"/>
      <c r="V453" s="30"/>
      <c r="W453" s="30"/>
      <c r="X453" s="30"/>
      <c r="Y453" s="30"/>
      <c r="Z453" s="30"/>
    </row>
    <row r="454" ht="63.75" customHeight="1">
      <c r="A454" s="135" t="s">
        <v>1252</v>
      </c>
      <c r="B454" s="136" t="s">
        <v>2983</v>
      </c>
      <c r="C454" s="137" t="s">
        <v>23</v>
      </c>
      <c r="D454" s="137" t="s">
        <v>1253</v>
      </c>
      <c r="E454" s="137" t="s">
        <v>1254</v>
      </c>
      <c r="F454" s="137" t="s">
        <v>232</v>
      </c>
      <c r="G454" s="138">
        <v>41445.0</v>
      </c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30"/>
      <c r="T454" s="30"/>
      <c r="U454" s="30"/>
      <c r="V454" s="30"/>
      <c r="W454" s="30"/>
      <c r="X454" s="30"/>
      <c r="Y454" s="30"/>
      <c r="Z454" s="30"/>
    </row>
    <row r="455" ht="38.25" customHeight="1">
      <c r="A455" s="139" t="s">
        <v>1255</v>
      </c>
      <c r="B455" s="119" t="s">
        <v>2984</v>
      </c>
      <c r="C455" s="38" t="s">
        <v>18</v>
      </c>
      <c r="D455" s="38" t="s">
        <v>1256</v>
      </c>
      <c r="E455" s="38" t="s">
        <v>1257</v>
      </c>
      <c r="F455" s="38" t="s">
        <v>64</v>
      </c>
      <c r="G455" s="140">
        <v>41452.0</v>
      </c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30"/>
      <c r="T455" s="30"/>
      <c r="U455" s="30"/>
      <c r="V455" s="30"/>
      <c r="W455" s="30"/>
      <c r="X455" s="30"/>
      <c r="Y455" s="30"/>
      <c r="Z455" s="30"/>
    </row>
    <row r="456" ht="51.0" customHeight="1">
      <c r="A456" s="135" t="s">
        <v>1258</v>
      </c>
      <c r="B456" s="136" t="s">
        <v>2985</v>
      </c>
      <c r="C456" s="137" t="s">
        <v>23</v>
      </c>
      <c r="D456" s="137" t="s">
        <v>1259</v>
      </c>
      <c r="E456" s="137" t="s">
        <v>1260</v>
      </c>
      <c r="F456" s="137" t="s">
        <v>685</v>
      </c>
      <c r="G456" s="138">
        <v>41613.0</v>
      </c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30"/>
      <c r="T456" s="30"/>
      <c r="U456" s="30"/>
      <c r="V456" s="30"/>
      <c r="W456" s="30"/>
      <c r="X456" s="30"/>
      <c r="Y456" s="30"/>
      <c r="Z456" s="30"/>
    </row>
    <row r="457" ht="51.0" customHeight="1">
      <c r="A457" s="139" t="s">
        <v>1261</v>
      </c>
      <c r="B457" s="119" t="s">
        <v>2986</v>
      </c>
      <c r="C457" s="38" t="s">
        <v>70</v>
      </c>
      <c r="D457" s="38" t="s">
        <v>1262</v>
      </c>
      <c r="E457" s="38" t="s">
        <v>1263</v>
      </c>
      <c r="F457" s="38" t="s">
        <v>356</v>
      </c>
      <c r="G457" s="140">
        <v>41617.0</v>
      </c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30"/>
      <c r="T457" s="30"/>
      <c r="U457" s="30"/>
      <c r="V457" s="30"/>
      <c r="W457" s="30"/>
      <c r="X457" s="30"/>
      <c r="Y457" s="30"/>
      <c r="Z457" s="30"/>
    </row>
    <row r="458" ht="38.25" customHeight="1">
      <c r="A458" s="135" t="s">
        <v>1264</v>
      </c>
      <c r="B458" s="136" t="s">
        <v>2987</v>
      </c>
      <c r="C458" s="137" t="s">
        <v>380</v>
      </c>
      <c r="D458" s="137" t="s">
        <v>1265</v>
      </c>
      <c r="E458" s="137" t="s">
        <v>1266</v>
      </c>
      <c r="F458" s="137" t="s">
        <v>1267</v>
      </c>
      <c r="G458" s="138">
        <v>41618.0</v>
      </c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30"/>
      <c r="T458" s="30"/>
      <c r="U458" s="30"/>
      <c r="V458" s="30"/>
      <c r="W458" s="30"/>
      <c r="X458" s="30"/>
      <c r="Y458" s="30"/>
      <c r="Z458" s="30"/>
    </row>
    <row r="459" ht="38.25" customHeight="1">
      <c r="A459" s="139" t="s">
        <v>1268</v>
      </c>
      <c r="B459" s="119" t="s">
        <v>2988</v>
      </c>
      <c r="C459" s="38" t="s">
        <v>543</v>
      </c>
      <c r="D459" s="38" t="s">
        <v>1269</v>
      </c>
      <c r="E459" s="38" t="s">
        <v>1270</v>
      </c>
      <c r="F459" s="38" t="s">
        <v>1271</v>
      </c>
      <c r="G459" s="140">
        <v>41617.0</v>
      </c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30"/>
      <c r="T459" s="30"/>
      <c r="U459" s="30"/>
      <c r="V459" s="30"/>
      <c r="W459" s="30"/>
      <c r="X459" s="30"/>
      <c r="Y459" s="30"/>
      <c r="Z459" s="30"/>
    </row>
    <row r="460" ht="38.25" customHeight="1">
      <c r="A460" s="135" t="s">
        <v>1272</v>
      </c>
      <c r="B460" s="136" t="s">
        <v>2989</v>
      </c>
      <c r="C460" s="137" t="s">
        <v>1022</v>
      </c>
      <c r="D460" s="137" t="s">
        <v>1273</v>
      </c>
      <c r="E460" s="137" t="s">
        <v>1274</v>
      </c>
      <c r="F460" s="137" t="s">
        <v>232</v>
      </c>
      <c r="G460" s="138">
        <v>41452.0</v>
      </c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30"/>
      <c r="T460" s="30"/>
      <c r="U460" s="30"/>
      <c r="V460" s="30"/>
      <c r="W460" s="30"/>
      <c r="X460" s="30"/>
      <c r="Y460" s="30"/>
      <c r="Z460" s="30"/>
    </row>
    <row r="461" ht="76.5" customHeight="1">
      <c r="A461" s="139" t="s">
        <v>1275</v>
      </c>
      <c r="B461" s="119" t="s">
        <v>2990</v>
      </c>
      <c r="C461" s="38" t="s">
        <v>767</v>
      </c>
      <c r="D461" s="38" t="s">
        <v>1276</v>
      </c>
      <c r="E461" s="38" t="s">
        <v>1277</v>
      </c>
      <c r="F461" s="38" t="s">
        <v>1044</v>
      </c>
      <c r="G461" s="140">
        <v>41617.0</v>
      </c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30"/>
      <c r="T461" s="30"/>
      <c r="U461" s="30"/>
      <c r="V461" s="30"/>
      <c r="W461" s="30"/>
      <c r="X461" s="30"/>
      <c r="Y461" s="30"/>
      <c r="Z461" s="30"/>
    </row>
    <row r="462" ht="28.5" customHeight="1">
      <c r="A462" s="135" t="s">
        <v>1278</v>
      </c>
      <c r="B462" s="136" t="s">
        <v>2991</v>
      </c>
      <c r="C462" s="137" t="s">
        <v>195</v>
      </c>
      <c r="D462" s="137" t="s">
        <v>1279</v>
      </c>
      <c r="E462" s="137" t="s">
        <v>1280</v>
      </c>
      <c r="F462" s="137" t="s">
        <v>64</v>
      </c>
      <c r="G462" s="138">
        <v>41624.0</v>
      </c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30"/>
      <c r="T462" s="30"/>
      <c r="U462" s="30"/>
      <c r="V462" s="30"/>
      <c r="W462" s="30"/>
      <c r="X462" s="30"/>
      <c r="Y462" s="30"/>
      <c r="Z462" s="30"/>
    </row>
    <row r="463" ht="63.75" customHeight="1">
      <c r="A463" s="139" t="s">
        <v>1281</v>
      </c>
      <c r="B463" s="119" t="s">
        <v>2992</v>
      </c>
      <c r="C463" s="38" t="s">
        <v>96</v>
      </c>
      <c r="D463" s="38" t="s">
        <v>1282</v>
      </c>
      <c r="E463" s="38" t="s">
        <v>1283</v>
      </c>
      <c r="F463" s="38" t="s">
        <v>399</v>
      </c>
      <c r="G463" s="140">
        <v>41444.0</v>
      </c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30"/>
      <c r="T463" s="30"/>
      <c r="U463" s="30"/>
      <c r="V463" s="30"/>
      <c r="W463" s="30"/>
      <c r="X463" s="30"/>
      <c r="Y463" s="30"/>
      <c r="Z463" s="30"/>
    </row>
    <row r="464" ht="51.0" customHeight="1">
      <c r="A464" s="135" t="s">
        <v>1284</v>
      </c>
      <c r="B464" s="136" t="s">
        <v>2993</v>
      </c>
      <c r="C464" s="137" t="s">
        <v>61</v>
      </c>
      <c r="D464" s="137" t="s">
        <v>1285</v>
      </c>
      <c r="E464" s="137" t="s">
        <v>1286</v>
      </c>
      <c r="F464" s="137" t="s">
        <v>1287</v>
      </c>
      <c r="G464" s="138">
        <v>41614.0</v>
      </c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30"/>
      <c r="T464" s="30"/>
      <c r="U464" s="30"/>
      <c r="V464" s="30"/>
      <c r="W464" s="30"/>
      <c r="X464" s="30"/>
      <c r="Y464" s="30"/>
      <c r="Z464" s="30"/>
    </row>
    <row r="465" ht="38.25" customHeight="1">
      <c r="A465" s="139" t="s">
        <v>1288</v>
      </c>
      <c r="B465" s="119" t="s">
        <v>2994</v>
      </c>
      <c r="C465" s="38" t="s">
        <v>61</v>
      </c>
      <c r="D465" s="38" t="s">
        <v>1289</v>
      </c>
      <c r="E465" s="38" t="s">
        <v>1290</v>
      </c>
      <c r="F465" s="38" t="s">
        <v>1287</v>
      </c>
      <c r="G465" s="140">
        <v>41614.0</v>
      </c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30"/>
      <c r="T465" s="30"/>
      <c r="U465" s="30"/>
      <c r="V465" s="30"/>
      <c r="W465" s="30"/>
      <c r="X465" s="30"/>
      <c r="Y465" s="30"/>
      <c r="Z465" s="30"/>
    </row>
    <row r="466" ht="38.25" customHeight="1">
      <c r="A466" s="135" t="s">
        <v>1291</v>
      </c>
      <c r="B466" s="136" t="s">
        <v>2995</v>
      </c>
      <c r="C466" s="137" t="s">
        <v>767</v>
      </c>
      <c r="D466" s="137" t="s">
        <v>1292</v>
      </c>
      <c r="E466" s="137" t="s">
        <v>1293</v>
      </c>
      <c r="F466" s="137" t="s">
        <v>1044</v>
      </c>
      <c r="G466" s="138">
        <v>41451.0</v>
      </c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30"/>
      <c r="T466" s="30"/>
      <c r="U466" s="30"/>
      <c r="V466" s="30"/>
      <c r="W466" s="30"/>
      <c r="X466" s="30"/>
      <c r="Y466" s="30"/>
      <c r="Z466" s="30"/>
    </row>
    <row r="467" ht="28.5" customHeight="1">
      <c r="A467" s="139" t="s">
        <v>1294</v>
      </c>
      <c r="B467" s="119" t="s">
        <v>2996</v>
      </c>
      <c r="C467" s="38" t="s">
        <v>33</v>
      </c>
      <c r="D467" s="38" t="s">
        <v>1295</v>
      </c>
      <c r="E467" s="38" t="s">
        <v>1296</v>
      </c>
      <c r="F467" s="38" t="s">
        <v>64</v>
      </c>
      <c r="G467" s="140">
        <v>41431.0</v>
      </c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30"/>
      <c r="T467" s="30"/>
      <c r="U467" s="30"/>
      <c r="V467" s="30"/>
      <c r="W467" s="30"/>
      <c r="X467" s="30"/>
      <c r="Y467" s="30"/>
      <c r="Z467" s="30"/>
    </row>
    <row r="468" ht="51.0" customHeight="1">
      <c r="A468" s="135" t="s">
        <v>1297</v>
      </c>
      <c r="B468" s="136" t="s">
        <v>2997</v>
      </c>
      <c r="C468" s="137" t="s">
        <v>276</v>
      </c>
      <c r="D468" s="137" t="s">
        <v>1298</v>
      </c>
      <c r="E468" s="137" t="s">
        <v>1299</v>
      </c>
      <c r="F468" s="137" t="s">
        <v>540</v>
      </c>
      <c r="G468" s="138">
        <v>41452.0</v>
      </c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30"/>
      <c r="T468" s="30"/>
      <c r="U468" s="30"/>
      <c r="V468" s="30"/>
      <c r="W468" s="30"/>
      <c r="X468" s="30"/>
      <c r="Y468" s="30"/>
      <c r="Z468" s="30"/>
    </row>
    <row r="469" ht="42.75" customHeight="1">
      <c r="A469" s="139" t="s">
        <v>1300</v>
      </c>
      <c r="B469" s="119" t="s">
        <v>2998</v>
      </c>
      <c r="C469" s="38" t="s">
        <v>338</v>
      </c>
      <c r="D469" s="38" t="s">
        <v>1301</v>
      </c>
      <c r="E469" s="38" t="s">
        <v>1302</v>
      </c>
      <c r="F469" s="38" t="s">
        <v>356</v>
      </c>
      <c r="G469" s="140">
        <v>41446.0</v>
      </c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30"/>
      <c r="T469" s="30"/>
      <c r="U469" s="30"/>
      <c r="V469" s="30"/>
      <c r="W469" s="30"/>
      <c r="X469" s="30"/>
      <c r="Y469" s="30"/>
      <c r="Z469" s="30"/>
    </row>
    <row r="470" ht="51.0" customHeight="1">
      <c r="A470" s="135" t="s">
        <v>1303</v>
      </c>
      <c r="B470" s="136" t="s">
        <v>2999</v>
      </c>
      <c r="C470" s="137" t="s">
        <v>13</v>
      </c>
      <c r="D470" s="137" t="s">
        <v>1304</v>
      </c>
      <c r="E470" s="137" t="s">
        <v>1305</v>
      </c>
      <c r="F470" s="137" t="s">
        <v>356</v>
      </c>
      <c r="G470" s="138">
        <v>41451.0</v>
      </c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30"/>
      <c r="T470" s="30"/>
      <c r="U470" s="30"/>
      <c r="V470" s="30"/>
      <c r="W470" s="30"/>
      <c r="X470" s="30"/>
      <c r="Y470" s="30"/>
      <c r="Z470" s="30"/>
    </row>
    <row r="471" ht="28.5" customHeight="1">
      <c r="A471" s="139" t="s">
        <v>1306</v>
      </c>
      <c r="B471" s="119" t="s">
        <v>3000</v>
      </c>
      <c r="C471" s="38" t="s">
        <v>583</v>
      </c>
      <c r="D471" s="38" t="s">
        <v>1307</v>
      </c>
      <c r="E471" s="38" t="s">
        <v>1308</v>
      </c>
      <c r="F471" s="38" t="s">
        <v>73</v>
      </c>
      <c r="G471" s="140">
        <v>41617.0</v>
      </c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30"/>
      <c r="T471" s="30"/>
      <c r="U471" s="30"/>
      <c r="V471" s="30"/>
      <c r="W471" s="30"/>
      <c r="X471" s="30"/>
      <c r="Y471" s="30"/>
      <c r="Z471" s="30"/>
    </row>
    <row r="472" ht="28.5" customHeight="1">
      <c r="A472" s="135" t="s">
        <v>1309</v>
      </c>
      <c r="B472" s="136" t="s">
        <v>3001</v>
      </c>
      <c r="C472" s="137" t="s">
        <v>116</v>
      </c>
      <c r="D472" s="137" t="s">
        <v>1310</v>
      </c>
      <c r="E472" s="137" t="s">
        <v>1311</v>
      </c>
      <c r="F472" s="137" t="s">
        <v>73</v>
      </c>
      <c r="G472" s="138">
        <v>41354.0</v>
      </c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30"/>
      <c r="T472" s="30"/>
      <c r="U472" s="30"/>
      <c r="V472" s="30"/>
      <c r="W472" s="30"/>
      <c r="X472" s="30"/>
      <c r="Y472" s="30"/>
      <c r="Z472" s="30"/>
    </row>
    <row r="473" ht="51.0" customHeight="1">
      <c r="A473" s="139" t="s">
        <v>1312</v>
      </c>
      <c r="B473" s="119" t="s">
        <v>3002</v>
      </c>
      <c r="C473" s="38" t="s">
        <v>23</v>
      </c>
      <c r="D473" s="38" t="s">
        <v>1313</v>
      </c>
      <c r="E473" s="38" t="s">
        <v>1314</v>
      </c>
      <c r="F473" s="38" t="s">
        <v>147</v>
      </c>
      <c r="G473" s="140">
        <v>41621.0</v>
      </c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30"/>
      <c r="T473" s="30"/>
      <c r="U473" s="30"/>
      <c r="V473" s="30"/>
      <c r="W473" s="30"/>
      <c r="X473" s="30"/>
      <c r="Y473" s="30"/>
      <c r="Z473" s="30"/>
    </row>
    <row r="474" ht="38.25" customHeight="1">
      <c r="A474" s="135" t="s">
        <v>1315</v>
      </c>
      <c r="B474" s="136" t="s">
        <v>3003</v>
      </c>
      <c r="C474" s="137" t="s">
        <v>301</v>
      </c>
      <c r="D474" s="137" t="s">
        <v>1316</v>
      </c>
      <c r="E474" s="137" t="s">
        <v>1317</v>
      </c>
      <c r="F474" s="137" t="s">
        <v>1124</v>
      </c>
      <c r="G474" s="138">
        <v>41617.0</v>
      </c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30"/>
      <c r="T474" s="30"/>
      <c r="U474" s="30"/>
      <c r="V474" s="30"/>
      <c r="W474" s="30"/>
      <c r="X474" s="30"/>
      <c r="Y474" s="30"/>
      <c r="Z474" s="30"/>
    </row>
    <row r="475" ht="38.25" customHeight="1">
      <c r="A475" s="139" t="s">
        <v>1318</v>
      </c>
      <c r="B475" s="119" t="s">
        <v>3004</v>
      </c>
      <c r="C475" s="38" t="s">
        <v>43</v>
      </c>
      <c r="D475" s="38" t="s">
        <v>1319</v>
      </c>
      <c r="E475" s="38" t="s">
        <v>1320</v>
      </c>
      <c r="F475" s="38" t="s">
        <v>947</v>
      </c>
      <c r="G475" s="140">
        <v>41624.0</v>
      </c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30"/>
      <c r="T475" s="30"/>
      <c r="U475" s="30"/>
      <c r="V475" s="30"/>
      <c r="W475" s="30"/>
      <c r="X475" s="30"/>
      <c r="Y475" s="30"/>
      <c r="Z475" s="30"/>
    </row>
    <row r="476" ht="63.75" customHeight="1">
      <c r="A476" s="135" t="s">
        <v>1321</v>
      </c>
      <c r="B476" s="136" t="s">
        <v>3005</v>
      </c>
      <c r="C476" s="137" t="s">
        <v>18</v>
      </c>
      <c r="D476" s="137" t="s">
        <v>1322</v>
      </c>
      <c r="E476" s="137" t="s">
        <v>1323</v>
      </c>
      <c r="F476" s="137" t="s">
        <v>356</v>
      </c>
      <c r="G476" s="138">
        <v>41624.0</v>
      </c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30"/>
      <c r="T476" s="30"/>
      <c r="U476" s="30"/>
      <c r="V476" s="30"/>
      <c r="W476" s="30"/>
      <c r="X476" s="30"/>
      <c r="Y476" s="30"/>
      <c r="Z476" s="30"/>
    </row>
    <row r="477" ht="42.75" customHeight="1">
      <c r="A477" s="139" t="s">
        <v>1324</v>
      </c>
      <c r="B477" s="119" t="s">
        <v>3006</v>
      </c>
      <c r="C477" s="38" t="s">
        <v>252</v>
      </c>
      <c r="D477" s="38" t="s">
        <v>1325</v>
      </c>
      <c r="E477" s="38" t="s">
        <v>1326</v>
      </c>
      <c r="F477" s="38" t="s">
        <v>947</v>
      </c>
      <c r="G477" s="140">
        <v>41445.0</v>
      </c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30"/>
      <c r="T477" s="30"/>
      <c r="U477" s="30"/>
      <c r="V477" s="30"/>
      <c r="W477" s="30"/>
      <c r="X477" s="30"/>
      <c r="Y477" s="30"/>
      <c r="Z477" s="30"/>
    </row>
    <row r="478" ht="51.0" customHeight="1">
      <c r="A478" s="135" t="s">
        <v>1327</v>
      </c>
      <c r="B478" s="136" t="s">
        <v>3007</v>
      </c>
      <c r="C478" s="137" t="s">
        <v>338</v>
      </c>
      <c r="D478" s="137" t="s">
        <v>1328</v>
      </c>
      <c r="E478" s="137" t="s">
        <v>1329</v>
      </c>
      <c r="F478" s="137" t="s">
        <v>356</v>
      </c>
      <c r="G478" s="138">
        <v>41452.0</v>
      </c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30"/>
      <c r="T478" s="30"/>
      <c r="U478" s="30"/>
      <c r="V478" s="30"/>
      <c r="W478" s="30"/>
      <c r="X478" s="30"/>
      <c r="Y478" s="30"/>
      <c r="Z478" s="30"/>
    </row>
    <row r="479" ht="51.0" customHeight="1">
      <c r="A479" s="139" t="s">
        <v>1330</v>
      </c>
      <c r="B479" s="119" t="s">
        <v>3008</v>
      </c>
      <c r="C479" s="38" t="s">
        <v>61</v>
      </c>
      <c r="D479" s="38" t="s">
        <v>1331</v>
      </c>
      <c r="E479" s="38" t="s">
        <v>1332</v>
      </c>
      <c r="F479" s="38" t="s">
        <v>356</v>
      </c>
      <c r="G479" s="140">
        <v>41621.0</v>
      </c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30"/>
      <c r="T479" s="30"/>
      <c r="U479" s="30"/>
      <c r="V479" s="30"/>
      <c r="W479" s="30"/>
      <c r="X479" s="30"/>
      <c r="Y479" s="30"/>
      <c r="Z479" s="30"/>
    </row>
    <row r="480" ht="42.75" customHeight="1">
      <c r="A480" s="135" t="s">
        <v>1333</v>
      </c>
      <c r="B480" s="136" t="s">
        <v>3009</v>
      </c>
      <c r="C480" s="137" t="s">
        <v>61</v>
      </c>
      <c r="D480" s="137" t="s">
        <v>1334</v>
      </c>
      <c r="E480" s="137" t="s">
        <v>1335</v>
      </c>
      <c r="F480" s="137" t="s">
        <v>685</v>
      </c>
      <c r="G480" s="138">
        <v>41612.0</v>
      </c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30"/>
      <c r="T480" s="30"/>
      <c r="U480" s="30"/>
      <c r="V480" s="30"/>
      <c r="W480" s="30"/>
      <c r="X480" s="30"/>
      <c r="Y480" s="30"/>
      <c r="Z480" s="30"/>
    </row>
    <row r="481" ht="28.5" customHeight="1">
      <c r="A481" s="139" t="s">
        <v>1336</v>
      </c>
      <c r="B481" s="119" t="s">
        <v>3010</v>
      </c>
      <c r="C481" s="38" t="s">
        <v>47</v>
      </c>
      <c r="D481" s="38" t="s">
        <v>1337</v>
      </c>
      <c r="E481" s="38" t="s">
        <v>1338</v>
      </c>
      <c r="F481" s="38" t="s">
        <v>73</v>
      </c>
      <c r="G481" s="140">
        <v>41617.0</v>
      </c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30"/>
      <c r="T481" s="30"/>
      <c r="U481" s="30"/>
      <c r="V481" s="30"/>
      <c r="W481" s="30"/>
      <c r="X481" s="30"/>
      <c r="Y481" s="30"/>
      <c r="Z481" s="30"/>
    </row>
    <row r="482" ht="38.25" customHeight="1">
      <c r="A482" s="135" t="s">
        <v>1339</v>
      </c>
      <c r="B482" s="136" t="s">
        <v>3011</v>
      </c>
      <c r="C482" s="137" t="s">
        <v>116</v>
      </c>
      <c r="D482" s="137" t="s">
        <v>1340</v>
      </c>
      <c r="E482" s="137" t="s">
        <v>1341</v>
      </c>
      <c r="F482" s="137" t="s">
        <v>114</v>
      </c>
      <c r="G482" s="138">
        <v>41659.0</v>
      </c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30"/>
      <c r="T482" s="30"/>
      <c r="U482" s="30"/>
      <c r="V482" s="30"/>
      <c r="W482" s="30"/>
      <c r="X482" s="30"/>
      <c r="Y482" s="30"/>
      <c r="Z482" s="30"/>
    </row>
    <row r="483" ht="42.75" customHeight="1">
      <c r="A483" s="139" t="s">
        <v>1342</v>
      </c>
      <c r="B483" s="119" t="s">
        <v>3012</v>
      </c>
      <c r="C483" s="38" t="s">
        <v>111</v>
      </c>
      <c r="D483" s="38" t="s">
        <v>1343</v>
      </c>
      <c r="E483" s="38" t="s">
        <v>1344</v>
      </c>
      <c r="F483" s="38" t="s">
        <v>205</v>
      </c>
      <c r="G483" s="140">
        <v>41621.0</v>
      </c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30"/>
      <c r="T483" s="30"/>
      <c r="U483" s="30"/>
      <c r="V483" s="30"/>
      <c r="W483" s="30"/>
      <c r="X483" s="30"/>
      <c r="Y483" s="30"/>
      <c r="Z483" s="30"/>
    </row>
    <row r="484" ht="38.25" customHeight="1">
      <c r="A484" s="135" t="s">
        <v>1345</v>
      </c>
      <c r="B484" s="136" t="s">
        <v>3013</v>
      </c>
      <c r="C484" s="137" t="s">
        <v>1346</v>
      </c>
      <c r="D484" s="137" t="s">
        <v>1347</v>
      </c>
      <c r="E484" s="137" t="s">
        <v>1348</v>
      </c>
      <c r="F484" s="137" t="s">
        <v>356</v>
      </c>
      <c r="G484" s="138">
        <v>41620.0</v>
      </c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30"/>
      <c r="T484" s="30"/>
      <c r="U484" s="30"/>
      <c r="V484" s="30"/>
      <c r="W484" s="30"/>
      <c r="X484" s="30"/>
      <c r="Y484" s="30"/>
      <c r="Z484" s="30"/>
    </row>
    <row r="485" ht="42.75" customHeight="1">
      <c r="A485" s="139" t="s">
        <v>1349</v>
      </c>
      <c r="B485" s="119" t="s">
        <v>3014</v>
      </c>
      <c r="C485" s="38" t="s">
        <v>61</v>
      </c>
      <c r="D485" s="38" t="s">
        <v>1350</v>
      </c>
      <c r="E485" s="38" t="s">
        <v>1351</v>
      </c>
      <c r="F485" s="38" t="s">
        <v>1083</v>
      </c>
      <c r="G485" s="140">
        <v>41624.0</v>
      </c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30"/>
      <c r="T485" s="30"/>
      <c r="U485" s="30"/>
      <c r="V485" s="30"/>
      <c r="W485" s="30"/>
      <c r="X485" s="30"/>
      <c r="Y485" s="30"/>
      <c r="Z485" s="30"/>
    </row>
    <row r="486" ht="51.0" customHeight="1">
      <c r="A486" s="135" t="s">
        <v>1352</v>
      </c>
      <c r="B486" s="136" t="s">
        <v>3015</v>
      </c>
      <c r="C486" s="137" t="s">
        <v>43</v>
      </c>
      <c r="D486" s="137" t="s">
        <v>1353</v>
      </c>
      <c r="E486" s="137" t="s">
        <v>1354</v>
      </c>
      <c r="F486" s="137" t="s">
        <v>963</v>
      </c>
      <c r="G486" s="138">
        <v>41432.0</v>
      </c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30"/>
      <c r="T486" s="30"/>
      <c r="U486" s="30"/>
      <c r="V486" s="30"/>
      <c r="W486" s="30"/>
      <c r="X486" s="30"/>
      <c r="Y486" s="30"/>
      <c r="Z486" s="30"/>
    </row>
    <row r="487" ht="51.75" customHeight="1">
      <c r="A487" s="139" t="s">
        <v>1355</v>
      </c>
      <c r="B487" s="119" t="s">
        <v>3016</v>
      </c>
      <c r="C487" s="38" t="s">
        <v>137</v>
      </c>
      <c r="D487" s="38" t="s">
        <v>1356</v>
      </c>
      <c r="E487" s="38" t="s">
        <v>1357</v>
      </c>
      <c r="F487" s="38" t="s">
        <v>147</v>
      </c>
      <c r="G487" s="140">
        <v>41624.0</v>
      </c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30"/>
      <c r="T487" s="30"/>
      <c r="U487" s="30"/>
      <c r="V487" s="30"/>
      <c r="W487" s="30"/>
      <c r="X487" s="30"/>
      <c r="Y487" s="30"/>
      <c r="Z487" s="30"/>
    </row>
    <row r="488" ht="38.25" customHeight="1">
      <c r="A488" s="131" t="s">
        <v>1358</v>
      </c>
      <c r="B488" s="132" t="s">
        <v>3017</v>
      </c>
      <c r="C488" s="133" t="s">
        <v>814</v>
      </c>
      <c r="D488" s="133" t="s">
        <v>1359</v>
      </c>
      <c r="E488" s="133" t="s">
        <v>1360</v>
      </c>
      <c r="F488" s="133" t="s">
        <v>1011</v>
      </c>
      <c r="G488" s="134">
        <v>41795.0</v>
      </c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30"/>
      <c r="T488" s="30"/>
      <c r="U488" s="30"/>
      <c r="V488" s="30"/>
      <c r="W488" s="30"/>
      <c r="X488" s="30"/>
      <c r="Y488" s="30"/>
      <c r="Z488" s="30"/>
    </row>
    <row r="489" ht="28.5" customHeight="1">
      <c r="A489" s="135" t="s">
        <v>1361</v>
      </c>
      <c r="B489" s="136" t="s">
        <v>3018</v>
      </c>
      <c r="C489" s="137" t="s">
        <v>814</v>
      </c>
      <c r="D489" s="137" t="s">
        <v>1362</v>
      </c>
      <c r="E489" s="137" t="s">
        <v>1363</v>
      </c>
      <c r="F489" s="137" t="s">
        <v>1011</v>
      </c>
      <c r="G489" s="138">
        <v>41794.0</v>
      </c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30"/>
      <c r="T489" s="30"/>
      <c r="U489" s="30"/>
      <c r="V489" s="30"/>
      <c r="W489" s="30"/>
      <c r="X489" s="30"/>
      <c r="Y489" s="30"/>
      <c r="Z489" s="30"/>
    </row>
    <row r="490" ht="38.25" customHeight="1">
      <c r="A490" s="139" t="s">
        <v>1364</v>
      </c>
      <c r="B490" s="119" t="s">
        <v>3019</v>
      </c>
      <c r="C490" s="38" t="s">
        <v>1121</v>
      </c>
      <c r="D490" s="38" t="s">
        <v>1365</v>
      </c>
      <c r="E490" s="38" t="s">
        <v>1366</v>
      </c>
      <c r="F490" s="38" t="s">
        <v>64</v>
      </c>
      <c r="G490" s="140">
        <v>41808.0</v>
      </c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30"/>
      <c r="T490" s="30"/>
      <c r="U490" s="30"/>
      <c r="V490" s="30"/>
      <c r="W490" s="30"/>
      <c r="X490" s="30"/>
      <c r="Y490" s="30"/>
      <c r="Z490" s="30"/>
    </row>
    <row r="491" ht="42.75" customHeight="1">
      <c r="A491" s="135" t="s">
        <v>1367</v>
      </c>
      <c r="B491" s="136" t="s">
        <v>3020</v>
      </c>
      <c r="C491" s="137" t="s">
        <v>814</v>
      </c>
      <c r="D491" s="137" t="s">
        <v>1368</v>
      </c>
      <c r="E491" s="137" t="s">
        <v>1369</v>
      </c>
      <c r="F491" s="137" t="s">
        <v>1011</v>
      </c>
      <c r="G491" s="138">
        <v>41823.0</v>
      </c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63.75" customHeight="1">
      <c r="A492" s="139" t="s">
        <v>1370</v>
      </c>
      <c r="B492" s="119" t="s">
        <v>3021</v>
      </c>
      <c r="C492" s="38" t="s">
        <v>311</v>
      </c>
      <c r="D492" s="38" t="s">
        <v>1371</v>
      </c>
      <c r="E492" s="38" t="s">
        <v>1372</v>
      </c>
      <c r="F492" s="38" t="s">
        <v>180</v>
      </c>
      <c r="G492" s="140">
        <v>41817.0</v>
      </c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30"/>
      <c r="T492" s="30"/>
      <c r="U492" s="30"/>
      <c r="V492" s="30"/>
      <c r="W492" s="30"/>
      <c r="X492" s="30"/>
      <c r="Y492" s="30"/>
      <c r="Z492" s="30"/>
    </row>
    <row r="493" ht="42.75" customHeight="1">
      <c r="A493" s="135" t="s">
        <v>1373</v>
      </c>
      <c r="B493" s="135" t="s">
        <v>3022</v>
      </c>
      <c r="C493" s="136" t="s">
        <v>61</v>
      </c>
      <c r="D493" s="137" t="s">
        <v>1374</v>
      </c>
      <c r="E493" s="137" t="s">
        <v>1375</v>
      </c>
      <c r="F493" s="137" t="s">
        <v>1185</v>
      </c>
      <c r="G493" s="137">
        <v>2014.0</v>
      </c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30"/>
      <c r="T493" s="30"/>
      <c r="U493" s="30"/>
      <c r="V493" s="30"/>
      <c r="W493" s="30"/>
      <c r="X493" s="30"/>
      <c r="Y493" s="30"/>
      <c r="Z493" s="30"/>
    </row>
    <row r="494" ht="57.0" customHeight="1">
      <c r="A494" s="139" t="s">
        <v>1376</v>
      </c>
      <c r="B494" s="119" t="s">
        <v>3023</v>
      </c>
      <c r="C494" s="38" t="s">
        <v>276</v>
      </c>
      <c r="D494" s="38" t="s">
        <v>1377</v>
      </c>
      <c r="E494" s="38" t="s">
        <v>1378</v>
      </c>
      <c r="F494" s="38" t="s">
        <v>1267</v>
      </c>
      <c r="G494" s="140">
        <v>41824.0</v>
      </c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30"/>
      <c r="T494" s="30"/>
      <c r="U494" s="30"/>
      <c r="V494" s="30"/>
      <c r="W494" s="30"/>
      <c r="X494" s="30"/>
      <c r="Y494" s="30"/>
      <c r="Z494" s="30"/>
    </row>
    <row r="495" ht="38.25" customHeight="1">
      <c r="A495" s="135" t="s">
        <v>1379</v>
      </c>
      <c r="B495" s="136" t="s">
        <v>3024</v>
      </c>
      <c r="C495" s="137" t="s">
        <v>47</v>
      </c>
      <c r="D495" s="137" t="s">
        <v>1380</v>
      </c>
      <c r="E495" s="137" t="s">
        <v>1381</v>
      </c>
      <c r="F495" s="137" t="s">
        <v>16</v>
      </c>
      <c r="G495" s="138">
        <v>41824.0</v>
      </c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30"/>
      <c r="T495" s="30"/>
      <c r="U495" s="30"/>
      <c r="V495" s="30"/>
      <c r="W495" s="30"/>
      <c r="X495" s="30"/>
      <c r="Y495" s="30"/>
      <c r="Z495" s="30"/>
    </row>
    <row r="496" ht="90.0" customHeight="1">
      <c r="A496" s="139" t="s">
        <v>1382</v>
      </c>
      <c r="B496" s="119" t="s">
        <v>3025</v>
      </c>
      <c r="C496" s="38" t="s">
        <v>195</v>
      </c>
      <c r="D496" s="38" t="s">
        <v>1383</v>
      </c>
      <c r="E496" s="38" t="s">
        <v>1384</v>
      </c>
      <c r="F496" s="38" t="s">
        <v>1385</v>
      </c>
      <c r="G496" s="140">
        <v>41823.0</v>
      </c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30"/>
      <c r="T496" s="30"/>
      <c r="U496" s="30"/>
      <c r="V496" s="30"/>
      <c r="W496" s="30"/>
      <c r="X496" s="30"/>
      <c r="Y496" s="30"/>
      <c r="Z496" s="30"/>
    </row>
    <row r="497" ht="51.0" customHeight="1">
      <c r="A497" s="135" t="s">
        <v>1386</v>
      </c>
      <c r="B497" s="136" t="s">
        <v>3026</v>
      </c>
      <c r="C497" s="137" t="s">
        <v>410</v>
      </c>
      <c r="D497" s="137" t="s">
        <v>1387</v>
      </c>
      <c r="E497" s="137" t="s">
        <v>1388</v>
      </c>
      <c r="F497" s="137" t="s">
        <v>1044</v>
      </c>
      <c r="G497" s="138">
        <v>41827.0</v>
      </c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30"/>
      <c r="T497" s="30"/>
      <c r="U497" s="30"/>
      <c r="V497" s="30"/>
      <c r="W497" s="30"/>
      <c r="X497" s="30"/>
      <c r="Y497" s="30"/>
      <c r="Z497" s="30"/>
    </row>
    <row r="498" ht="51.0" customHeight="1">
      <c r="A498" s="139" t="s">
        <v>1389</v>
      </c>
      <c r="B498" s="119" t="s">
        <v>3027</v>
      </c>
      <c r="C498" s="38" t="s">
        <v>1390</v>
      </c>
      <c r="D498" s="38" t="s">
        <v>1391</v>
      </c>
      <c r="E498" s="38" t="s">
        <v>1392</v>
      </c>
      <c r="F498" s="38" t="s">
        <v>16</v>
      </c>
      <c r="G498" s="140">
        <v>41824.0</v>
      </c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30"/>
      <c r="T498" s="30"/>
      <c r="U498" s="30"/>
      <c r="V498" s="30"/>
      <c r="W498" s="30"/>
      <c r="X498" s="30"/>
      <c r="Y498" s="30"/>
      <c r="Z498" s="30"/>
    </row>
    <row r="499" ht="51.0" customHeight="1">
      <c r="A499" s="135" t="s">
        <v>1393</v>
      </c>
      <c r="B499" s="136" t="s">
        <v>3028</v>
      </c>
      <c r="C499" s="137" t="s">
        <v>70</v>
      </c>
      <c r="D499" s="137" t="s">
        <v>1394</v>
      </c>
      <c r="E499" s="137" t="s">
        <v>1395</v>
      </c>
      <c r="F499" s="137" t="s">
        <v>356</v>
      </c>
      <c r="G499" s="138">
        <v>41827.0</v>
      </c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30"/>
      <c r="T499" s="30"/>
      <c r="U499" s="30"/>
      <c r="V499" s="30"/>
      <c r="W499" s="30"/>
      <c r="X499" s="30"/>
      <c r="Y499" s="30"/>
      <c r="Z499" s="30"/>
    </row>
    <row r="500" ht="63.75" customHeight="1">
      <c r="A500" s="139" t="s">
        <v>1396</v>
      </c>
      <c r="B500" s="119" t="s">
        <v>3029</v>
      </c>
      <c r="C500" s="38" t="s">
        <v>38</v>
      </c>
      <c r="D500" s="38" t="s">
        <v>1397</v>
      </c>
      <c r="E500" s="38" t="s">
        <v>1398</v>
      </c>
      <c r="F500" s="38" t="s">
        <v>16</v>
      </c>
      <c r="G500" s="140">
        <v>41824.0</v>
      </c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30"/>
      <c r="T500" s="30"/>
      <c r="U500" s="30"/>
      <c r="V500" s="30"/>
      <c r="W500" s="30"/>
      <c r="X500" s="30"/>
      <c r="Y500" s="30"/>
      <c r="Z500" s="30"/>
    </row>
    <row r="501" ht="51.0" customHeight="1">
      <c r="A501" s="135" t="s">
        <v>1399</v>
      </c>
      <c r="B501" s="136" t="s">
        <v>3030</v>
      </c>
      <c r="C501" s="137" t="s">
        <v>1121</v>
      </c>
      <c r="D501" s="137" t="s">
        <v>1400</v>
      </c>
      <c r="E501" s="137" t="s">
        <v>1401</v>
      </c>
      <c r="F501" s="137" t="s">
        <v>205</v>
      </c>
      <c r="G501" s="138">
        <v>41823.0</v>
      </c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30"/>
      <c r="T501" s="30"/>
      <c r="U501" s="30"/>
      <c r="V501" s="30"/>
      <c r="W501" s="30"/>
      <c r="X501" s="30"/>
      <c r="Y501" s="30"/>
      <c r="Z501" s="30"/>
    </row>
    <row r="502" ht="57.0" customHeight="1">
      <c r="A502" s="139" t="s">
        <v>1402</v>
      </c>
      <c r="B502" s="119" t="s">
        <v>3031</v>
      </c>
      <c r="C502" s="38" t="s">
        <v>23</v>
      </c>
      <c r="D502" s="38" t="s">
        <v>1403</v>
      </c>
      <c r="E502" s="38" t="s">
        <v>1404</v>
      </c>
      <c r="F502" s="38" t="s">
        <v>1287</v>
      </c>
      <c r="G502" s="140">
        <v>41823.0</v>
      </c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30"/>
      <c r="T502" s="30"/>
      <c r="U502" s="30"/>
      <c r="V502" s="30"/>
      <c r="W502" s="30"/>
      <c r="X502" s="30"/>
      <c r="Y502" s="30"/>
      <c r="Z502" s="30"/>
    </row>
    <row r="503" ht="57.0" customHeight="1">
      <c r="A503" s="135" t="s">
        <v>1405</v>
      </c>
      <c r="B503" s="136" t="s">
        <v>3032</v>
      </c>
      <c r="C503" s="137" t="s">
        <v>23</v>
      </c>
      <c r="D503" s="137" t="s">
        <v>1406</v>
      </c>
      <c r="E503" s="137" t="s">
        <v>1407</v>
      </c>
      <c r="F503" s="137" t="s">
        <v>1287</v>
      </c>
      <c r="G503" s="138">
        <v>41823.0</v>
      </c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30"/>
      <c r="T503" s="30"/>
      <c r="U503" s="30"/>
      <c r="V503" s="30"/>
      <c r="W503" s="30"/>
      <c r="X503" s="30"/>
      <c r="Y503" s="30"/>
      <c r="Z503" s="30"/>
    </row>
    <row r="504" ht="28.5" customHeight="1">
      <c r="A504" s="139" t="s">
        <v>1408</v>
      </c>
      <c r="B504" s="119" t="s">
        <v>3033</v>
      </c>
      <c r="C504" s="38" t="s">
        <v>1173</v>
      </c>
      <c r="D504" s="38" t="s">
        <v>1409</v>
      </c>
      <c r="E504" s="38" t="s">
        <v>1410</v>
      </c>
      <c r="F504" s="38" t="s">
        <v>473</v>
      </c>
      <c r="G504" s="140">
        <v>41827.0</v>
      </c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30"/>
      <c r="T504" s="30"/>
      <c r="U504" s="30"/>
      <c r="V504" s="30"/>
      <c r="W504" s="30"/>
      <c r="X504" s="30"/>
      <c r="Y504" s="30"/>
      <c r="Z504" s="30"/>
    </row>
    <row r="505" ht="42.75" customHeight="1">
      <c r="A505" s="135" t="s">
        <v>1411</v>
      </c>
      <c r="B505" s="136" t="s">
        <v>3034</v>
      </c>
      <c r="C505" s="137" t="s">
        <v>252</v>
      </c>
      <c r="D505" s="137" t="s">
        <v>1412</v>
      </c>
      <c r="E505" s="137" t="s">
        <v>1413</v>
      </c>
      <c r="F505" s="137" t="s">
        <v>947</v>
      </c>
      <c r="G505" s="138">
        <v>41808.0</v>
      </c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30"/>
      <c r="T505" s="30"/>
      <c r="U505" s="30"/>
      <c r="V505" s="30"/>
      <c r="W505" s="30"/>
      <c r="X505" s="30"/>
      <c r="Y505" s="30"/>
      <c r="Z505" s="30"/>
    </row>
    <row r="506" ht="38.25" customHeight="1">
      <c r="A506" s="139" t="s">
        <v>1414</v>
      </c>
      <c r="B506" s="119" t="s">
        <v>3035</v>
      </c>
      <c r="C506" s="38" t="s">
        <v>252</v>
      </c>
      <c r="D506" s="38" t="s">
        <v>1415</v>
      </c>
      <c r="E506" s="38" t="s">
        <v>1416</v>
      </c>
      <c r="F506" s="38" t="s">
        <v>356</v>
      </c>
      <c r="G506" s="140">
        <v>41827.0</v>
      </c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30"/>
      <c r="T506" s="30"/>
      <c r="U506" s="30"/>
      <c r="V506" s="30"/>
      <c r="W506" s="30"/>
      <c r="X506" s="30"/>
      <c r="Y506" s="30"/>
      <c r="Z506" s="30"/>
    </row>
    <row r="507" ht="51.0" customHeight="1">
      <c r="A507" s="135" t="s">
        <v>1417</v>
      </c>
      <c r="B507" s="136" t="s">
        <v>3036</v>
      </c>
      <c r="C507" s="137" t="s">
        <v>1173</v>
      </c>
      <c r="D507" s="137" t="s">
        <v>1418</v>
      </c>
      <c r="E507" s="137" t="s">
        <v>1419</v>
      </c>
      <c r="F507" s="137" t="s">
        <v>473</v>
      </c>
      <c r="G507" s="138">
        <v>41827.0</v>
      </c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30"/>
      <c r="T507" s="30"/>
      <c r="U507" s="30"/>
      <c r="V507" s="30"/>
      <c r="W507" s="30"/>
      <c r="X507" s="30"/>
      <c r="Y507" s="30"/>
      <c r="Z507" s="30"/>
    </row>
    <row r="508" ht="42.75" customHeight="1">
      <c r="A508" s="139" t="s">
        <v>1420</v>
      </c>
      <c r="B508" s="119" t="s">
        <v>3037</v>
      </c>
      <c r="C508" s="38" t="s">
        <v>43</v>
      </c>
      <c r="D508" s="38" t="s">
        <v>1421</v>
      </c>
      <c r="E508" s="38" t="s">
        <v>1422</v>
      </c>
      <c r="F508" s="38" t="s">
        <v>64</v>
      </c>
      <c r="G508" s="140">
        <v>41624.0</v>
      </c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30"/>
      <c r="T508" s="30"/>
      <c r="U508" s="30"/>
      <c r="V508" s="30"/>
      <c r="W508" s="30"/>
      <c r="X508" s="30"/>
      <c r="Y508" s="30"/>
      <c r="Z508" s="30"/>
    </row>
    <row r="509" ht="28.5" customHeight="1">
      <c r="A509" s="135" t="s">
        <v>1423</v>
      </c>
      <c r="B509" s="136" t="s">
        <v>3038</v>
      </c>
      <c r="C509" s="137" t="s">
        <v>61</v>
      </c>
      <c r="D509" s="137" t="s">
        <v>1424</v>
      </c>
      <c r="E509" s="137" t="s">
        <v>1425</v>
      </c>
      <c r="F509" s="137" t="s">
        <v>205</v>
      </c>
      <c r="G509" s="138">
        <v>41982.0</v>
      </c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30"/>
      <c r="T509" s="30"/>
      <c r="U509" s="30"/>
      <c r="V509" s="30"/>
      <c r="W509" s="30"/>
      <c r="X509" s="30"/>
      <c r="Y509" s="30"/>
      <c r="Z509" s="30"/>
    </row>
    <row r="510" ht="28.5" customHeight="1">
      <c r="A510" s="139" t="s">
        <v>1426</v>
      </c>
      <c r="B510" s="119" t="s">
        <v>3039</v>
      </c>
      <c r="C510" s="38" t="s">
        <v>13</v>
      </c>
      <c r="D510" s="38" t="s">
        <v>1427</v>
      </c>
      <c r="E510" s="38" t="s">
        <v>1428</v>
      </c>
      <c r="F510" s="38" t="s">
        <v>1044</v>
      </c>
      <c r="G510" s="140">
        <v>41975.0</v>
      </c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30"/>
      <c r="T510" s="30"/>
      <c r="U510" s="30"/>
      <c r="V510" s="30"/>
      <c r="W510" s="30"/>
      <c r="X510" s="30"/>
      <c r="Y510" s="30"/>
      <c r="Z510" s="30"/>
    </row>
    <row r="511" ht="38.25" customHeight="1">
      <c r="A511" s="135" t="s">
        <v>1429</v>
      </c>
      <c r="B511" s="136" t="s">
        <v>3040</v>
      </c>
      <c r="C511" s="137" t="s">
        <v>814</v>
      </c>
      <c r="D511" s="137" t="s">
        <v>1430</v>
      </c>
      <c r="E511" s="137" t="s">
        <v>1431</v>
      </c>
      <c r="F511" s="137" t="s">
        <v>1011</v>
      </c>
      <c r="G511" s="138">
        <v>41984.0</v>
      </c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30"/>
      <c r="T511" s="30"/>
      <c r="U511" s="30"/>
      <c r="V511" s="30"/>
      <c r="W511" s="30"/>
      <c r="X511" s="30"/>
      <c r="Y511" s="30"/>
      <c r="Z511" s="30"/>
    </row>
    <row r="512" ht="51.0" customHeight="1">
      <c r="A512" s="139" t="s">
        <v>1432</v>
      </c>
      <c r="B512" s="119" t="s">
        <v>3041</v>
      </c>
      <c r="C512" s="38" t="s">
        <v>234</v>
      </c>
      <c r="D512" s="38" t="s">
        <v>1433</v>
      </c>
      <c r="E512" s="38" t="s">
        <v>1434</v>
      </c>
      <c r="F512" s="38" t="s">
        <v>1287</v>
      </c>
      <c r="G512" s="140">
        <v>41984.0</v>
      </c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30"/>
      <c r="T512" s="30"/>
      <c r="U512" s="30"/>
      <c r="V512" s="30"/>
      <c r="W512" s="30"/>
      <c r="X512" s="30"/>
      <c r="Y512" s="30"/>
      <c r="Z512" s="30"/>
    </row>
    <row r="513" ht="63.75" customHeight="1">
      <c r="A513" s="135" t="s">
        <v>1435</v>
      </c>
      <c r="B513" s="136" t="s">
        <v>3042</v>
      </c>
      <c r="C513" s="137" t="s">
        <v>195</v>
      </c>
      <c r="D513" s="137" t="s">
        <v>1436</v>
      </c>
      <c r="E513" s="137" t="s">
        <v>1437</v>
      </c>
      <c r="F513" s="137" t="s">
        <v>356</v>
      </c>
      <c r="G513" s="138">
        <v>41982.0</v>
      </c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30"/>
      <c r="T513" s="30"/>
      <c r="U513" s="30"/>
      <c r="V513" s="30"/>
      <c r="W513" s="30"/>
      <c r="X513" s="30"/>
      <c r="Y513" s="30"/>
      <c r="Z513" s="30"/>
    </row>
    <row r="514" ht="42.75" customHeight="1">
      <c r="A514" s="139" t="s">
        <v>1438</v>
      </c>
      <c r="B514" s="119" t="s">
        <v>3043</v>
      </c>
      <c r="C514" s="38" t="s">
        <v>814</v>
      </c>
      <c r="D514" s="38" t="s">
        <v>1439</v>
      </c>
      <c r="E514" s="38" t="s">
        <v>1440</v>
      </c>
      <c r="F514" s="38" t="s">
        <v>26</v>
      </c>
      <c r="G514" s="140">
        <v>41982.0</v>
      </c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30"/>
      <c r="T514" s="30"/>
      <c r="U514" s="30"/>
      <c r="V514" s="30"/>
      <c r="W514" s="30"/>
      <c r="X514" s="30"/>
      <c r="Y514" s="30"/>
      <c r="Z514" s="30"/>
    </row>
    <row r="515" ht="42.75" customHeight="1">
      <c r="A515" s="135" t="s">
        <v>1441</v>
      </c>
      <c r="B515" s="136" t="s">
        <v>3044</v>
      </c>
      <c r="C515" s="137" t="s">
        <v>814</v>
      </c>
      <c r="D515" s="137" t="s">
        <v>1442</v>
      </c>
      <c r="E515" s="137" t="s">
        <v>1443</v>
      </c>
      <c r="F515" s="137" t="s">
        <v>1011</v>
      </c>
      <c r="G515" s="138">
        <v>41983.0</v>
      </c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30"/>
      <c r="T515" s="30"/>
      <c r="U515" s="30"/>
      <c r="V515" s="30"/>
      <c r="W515" s="30"/>
      <c r="X515" s="30"/>
      <c r="Y515" s="30"/>
      <c r="Z515" s="30"/>
    </row>
    <row r="516" ht="51.0" customHeight="1">
      <c r="A516" s="139" t="s">
        <v>1444</v>
      </c>
      <c r="B516" s="119" t="s">
        <v>3045</v>
      </c>
      <c r="C516" s="38" t="s">
        <v>167</v>
      </c>
      <c r="D516" s="38" t="s">
        <v>1445</v>
      </c>
      <c r="E516" s="38" t="s">
        <v>1446</v>
      </c>
      <c r="F516" s="38" t="s">
        <v>1287</v>
      </c>
      <c r="G516" s="140">
        <v>41978.0</v>
      </c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30"/>
      <c r="T516" s="30"/>
      <c r="U516" s="30"/>
      <c r="V516" s="30"/>
      <c r="W516" s="30"/>
      <c r="X516" s="30"/>
      <c r="Y516" s="30"/>
      <c r="Z516" s="30"/>
    </row>
    <row r="517" ht="51.0" customHeight="1">
      <c r="A517" s="135" t="s">
        <v>1447</v>
      </c>
      <c r="B517" s="136" t="s">
        <v>3046</v>
      </c>
      <c r="C517" s="137" t="s">
        <v>137</v>
      </c>
      <c r="D517" s="137" t="s">
        <v>1448</v>
      </c>
      <c r="E517" s="137" t="s">
        <v>1449</v>
      </c>
      <c r="F517" s="137" t="s">
        <v>162</v>
      </c>
      <c r="G517" s="138">
        <v>41976.0</v>
      </c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30"/>
      <c r="T517" s="30"/>
      <c r="U517" s="30"/>
      <c r="V517" s="30"/>
      <c r="W517" s="30"/>
      <c r="X517" s="30"/>
      <c r="Y517" s="30"/>
      <c r="Z517" s="30"/>
    </row>
    <row r="518" ht="38.25" customHeight="1">
      <c r="A518" s="139" t="s">
        <v>1450</v>
      </c>
      <c r="B518" s="119" t="s">
        <v>3047</v>
      </c>
      <c r="C518" s="38" t="s">
        <v>1451</v>
      </c>
      <c r="D518" s="38" t="s">
        <v>1452</v>
      </c>
      <c r="E518" s="38" t="s">
        <v>1453</v>
      </c>
      <c r="F518" s="38" t="s">
        <v>88</v>
      </c>
      <c r="G518" s="140">
        <v>41982.0</v>
      </c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30"/>
      <c r="T518" s="30"/>
      <c r="U518" s="30"/>
      <c r="V518" s="30"/>
      <c r="W518" s="30"/>
      <c r="X518" s="30"/>
      <c r="Y518" s="30"/>
      <c r="Z518" s="30"/>
    </row>
    <row r="519" ht="28.5" customHeight="1">
      <c r="A519" s="135" t="s">
        <v>1454</v>
      </c>
      <c r="B519" s="136" t="s">
        <v>3048</v>
      </c>
      <c r="C519" s="137" t="s">
        <v>814</v>
      </c>
      <c r="D519" s="137" t="s">
        <v>1455</v>
      </c>
      <c r="E519" s="137" t="s">
        <v>1456</v>
      </c>
      <c r="F519" s="137" t="s">
        <v>473</v>
      </c>
      <c r="G519" s="138">
        <v>41984.0</v>
      </c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30"/>
      <c r="T519" s="30"/>
      <c r="U519" s="30"/>
      <c r="V519" s="30"/>
      <c r="W519" s="30"/>
      <c r="X519" s="30"/>
      <c r="Y519" s="30"/>
      <c r="Z519" s="30"/>
    </row>
    <row r="520" ht="63.75" customHeight="1">
      <c r="A520" s="139" t="s">
        <v>1457</v>
      </c>
      <c r="B520" s="119" t="s">
        <v>3049</v>
      </c>
      <c r="C520" s="38" t="s">
        <v>767</v>
      </c>
      <c r="D520" s="38" t="s">
        <v>1458</v>
      </c>
      <c r="E520" s="38" t="s">
        <v>1459</v>
      </c>
      <c r="F520" s="38" t="s">
        <v>1044</v>
      </c>
      <c r="G520" s="140">
        <v>41975.0</v>
      </c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30"/>
      <c r="T520" s="30"/>
      <c r="U520" s="30"/>
      <c r="V520" s="30"/>
      <c r="W520" s="30"/>
      <c r="X520" s="30"/>
      <c r="Y520" s="30"/>
      <c r="Z520" s="30"/>
    </row>
    <row r="521" ht="28.5" customHeight="1">
      <c r="A521" s="197" t="s">
        <v>1460</v>
      </c>
      <c r="B521" s="136" t="s">
        <v>3050</v>
      </c>
      <c r="C521" s="137" t="s">
        <v>52</v>
      </c>
      <c r="D521" s="137" t="s">
        <v>1461</v>
      </c>
      <c r="E521" s="137" t="s">
        <v>1462</v>
      </c>
      <c r="F521" s="137" t="s">
        <v>473</v>
      </c>
      <c r="G521" s="138">
        <v>41983.0</v>
      </c>
      <c r="H521" s="188" t="s">
        <v>2623</v>
      </c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63.75" customHeight="1">
      <c r="A522" s="139" t="s">
        <v>1463</v>
      </c>
      <c r="B522" s="119" t="s">
        <v>3051</v>
      </c>
      <c r="C522" s="38" t="s">
        <v>195</v>
      </c>
      <c r="D522" s="38" t="s">
        <v>1464</v>
      </c>
      <c r="E522" s="38" t="s">
        <v>1465</v>
      </c>
      <c r="F522" s="38" t="s">
        <v>1466</v>
      </c>
      <c r="G522" s="140">
        <v>41975.0</v>
      </c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30"/>
      <c r="T522" s="30"/>
      <c r="U522" s="30"/>
      <c r="V522" s="30"/>
      <c r="W522" s="30"/>
      <c r="X522" s="30"/>
      <c r="Y522" s="30"/>
      <c r="Z522" s="30"/>
    </row>
    <row r="523" ht="51.0" customHeight="1">
      <c r="A523" s="135" t="s">
        <v>1467</v>
      </c>
      <c r="B523" s="136" t="s">
        <v>3052</v>
      </c>
      <c r="C523" s="137" t="s">
        <v>1468</v>
      </c>
      <c r="D523" s="137" t="s">
        <v>1469</v>
      </c>
      <c r="E523" s="137" t="s">
        <v>1470</v>
      </c>
      <c r="F523" s="137" t="s">
        <v>31</v>
      </c>
      <c r="G523" s="138">
        <v>41984.0</v>
      </c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30"/>
      <c r="T523" s="30"/>
      <c r="U523" s="30"/>
      <c r="V523" s="30"/>
      <c r="W523" s="30"/>
      <c r="X523" s="30"/>
      <c r="Y523" s="30"/>
      <c r="Z523" s="30"/>
    </row>
    <row r="524" ht="28.5" customHeight="1">
      <c r="A524" s="139" t="s">
        <v>1471</v>
      </c>
      <c r="B524" s="119" t="s">
        <v>3053</v>
      </c>
      <c r="C524" s="38" t="s">
        <v>47</v>
      </c>
      <c r="D524" s="38" t="s">
        <v>1472</v>
      </c>
      <c r="E524" s="38" t="s">
        <v>1473</v>
      </c>
      <c r="F524" s="38" t="s">
        <v>16</v>
      </c>
      <c r="G524" s="140">
        <v>41984.0</v>
      </c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30"/>
      <c r="T524" s="30"/>
      <c r="U524" s="30"/>
      <c r="V524" s="30"/>
      <c r="W524" s="30"/>
      <c r="X524" s="30"/>
      <c r="Y524" s="30"/>
      <c r="Z524" s="30"/>
    </row>
    <row r="525" ht="38.25" customHeight="1">
      <c r="A525" s="135" t="s">
        <v>1474</v>
      </c>
      <c r="B525" s="136" t="s">
        <v>3054</v>
      </c>
      <c r="C525" s="137" t="s">
        <v>43</v>
      </c>
      <c r="D525" s="137" t="s">
        <v>1475</v>
      </c>
      <c r="E525" s="137" t="s">
        <v>1476</v>
      </c>
      <c r="F525" s="137" t="s">
        <v>963</v>
      </c>
      <c r="G525" s="138">
        <v>41984.0</v>
      </c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30"/>
      <c r="T525" s="30"/>
      <c r="U525" s="30"/>
      <c r="V525" s="30"/>
      <c r="W525" s="30"/>
      <c r="X525" s="30"/>
      <c r="Y525" s="30"/>
      <c r="Z525" s="30"/>
    </row>
    <row r="526" ht="38.25" customHeight="1">
      <c r="A526" s="139" t="s">
        <v>1477</v>
      </c>
      <c r="B526" s="119" t="s">
        <v>3055</v>
      </c>
      <c r="C526" s="38" t="s">
        <v>116</v>
      </c>
      <c r="D526" s="38" t="s">
        <v>1478</v>
      </c>
      <c r="E526" s="38" t="s">
        <v>1479</v>
      </c>
      <c r="F526" s="38" t="s">
        <v>205</v>
      </c>
      <c r="G526" s="140">
        <v>41982.0</v>
      </c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30"/>
      <c r="T526" s="30"/>
      <c r="U526" s="30"/>
      <c r="V526" s="30"/>
      <c r="W526" s="30"/>
      <c r="X526" s="30"/>
      <c r="Y526" s="30"/>
      <c r="Z526" s="30"/>
    </row>
    <row r="527" ht="51.75" customHeight="1">
      <c r="A527" s="203" t="s">
        <v>1480</v>
      </c>
      <c r="B527" s="204" t="s">
        <v>3056</v>
      </c>
      <c r="C527" s="205" t="s">
        <v>252</v>
      </c>
      <c r="D527" s="205" t="s">
        <v>1481</v>
      </c>
      <c r="E527" s="205" t="s">
        <v>1482</v>
      </c>
      <c r="F527" s="205" t="s">
        <v>1124</v>
      </c>
      <c r="G527" s="206">
        <v>41976.0</v>
      </c>
      <c r="H527" s="207" t="s">
        <v>2771</v>
      </c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51.0" customHeight="1">
      <c r="A528" s="131" t="s">
        <v>1483</v>
      </c>
      <c r="B528" s="208" t="s">
        <v>3057</v>
      </c>
      <c r="C528" s="133" t="s">
        <v>137</v>
      </c>
      <c r="D528" s="133" t="s">
        <v>1484</v>
      </c>
      <c r="E528" s="133" t="s">
        <v>1485</v>
      </c>
      <c r="F528" s="133" t="s">
        <v>861</v>
      </c>
      <c r="G528" s="134">
        <v>42276.0</v>
      </c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30"/>
      <c r="T528" s="30"/>
      <c r="U528" s="30"/>
      <c r="V528" s="30"/>
      <c r="W528" s="30"/>
      <c r="X528" s="30"/>
      <c r="Y528" s="30"/>
      <c r="Z528" s="30"/>
    </row>
    <row r="529" ht="28.5" customHeight="1">
      <c r="A529" s="135" t="s">
        <v>1486</v>
      </c>
      <c r="B529" s="166" t="s">
        <v>1487</v>
      </c>
      <c r="C529" s="137" t="s">
        <v>167</v>
      </c>
      <c r="D529" s="137" t="s">
        <v>1488</v>
      </c>
      <c r="E529" s="137" t="s">
        <v>1489</v>
      </c>
      <c r="F529" s="137" t="s">
        <v>180</v>
      </c>
      <c r="G529" s="138">
        <v>42272.0</v>
      </c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30"/>
      <c r="T529" s="30"/>
      <c r="U529" s="30"/>
      <c r="V529" s="30"/>
      <c r="W529" s="30"/>
      <c r="X529" s="30"/>
      <c r="Y529" s="30"/>
      <c r="Z529" s="30"/>
    </row>
    <row r="530" ht="42.75" customHeight="1">
      <c r="A530" s="139" t="s">
        <v>1490</v>
      </c>
      <c r="B530" s="168" t="s">
        <v>1491</v>
      </c>
      <c r="C530" s="38" t="s">
        <v>767</v>
      </c>
      <c r="D530" s="38" t="s">
        <v>1492</v>
      </c>
      <c r="E530" s="38" t="s">
        <v>1493</v>
      </c>
      <c r="F530" s="38" t="s">
        <v>1044</v>
      </c>
      <c r="G530" s="140">
        <v>42276.0</v>
      </c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30"/>
      <c r="T530" s="30"/>
      <c r="U530" s="30"/>
      <c r="V530" s="30"/>
      <c r="W530" s="30"/>
      <c r="X530" s="30"/>
      <c r="Y530" s="30"/>
      <c r="Z530" s="30"/>
    </row>
    <row r="531" ht="28.5" customHeight="1">
      <c r="A531" s="135" t="s">
        <v>1494</v>
      </c>
      <c r="B531" s="166" t="s">
        <v>1495</v>
      </c>
      <c r="C531" s="137" t="s">
        <v>111</v>
      </c>
      <c r="D531" s="137" t="s">
        <v>1496</v>
      </c>
      <c r="E531" s="137" t="s">
        <v>1497</v>
      </c>
      <c r="F531" s="209" t="s">
        <v>205</v>
      </c>
      <c r="G531" s="138">
        <v>42275.0</v>
      </c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30"/>
      <c r="T531" s="30"/>
      <c r="U531" s="30"/>
      <c r="V531" s="30"/>
      <c r="W531" s="30"/>
      <c r="X531" s="30"/>
      <c r="Y531" s="30"/>
      <c r="Z531" s="30"/>
    </row>
    <row r="532" ht="42.75" customHeight="1">
      <c r="A532" s="139" t="s">
        <v>1498</v>
      </c>
      <c r="B532" s="168" t="s">
        <v>1499</v>
      </c>
      <c r="C532" s="38" t="s">
        <v>137</v>
      </c>
      <c r="D532" s="38" t="s">
        <v>1500</v>
      </c>
      <c r="E532" s="38" t="s">
        <v>1501</v>
      </c>
      <c r="F532" s="38" t="s">
        <v>1287</v>
      </c>
      <c r="G532" s="140">
        <v>42276.0</v>
      </c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30"/>
      <c r="T532" s="30"/>
      <c r="U532" s="30"/>
      <c r="V532" s="30"/>
      <c r="W532" s="30"/>
      <c r="X532" s="30"/>
      <c r="Y532" s="30"/>
      <c r="Z532" s="30"/>
    </row>
    <row r="533" ht="38.25" customHeight="1">
      <c r="A533" s="135" t="s">
        <v>1502</v>
      </c>
      <c r="B533" s="166" t="s">
        <v>1503</v>
      </c>
      <c r="C533" s="137" t="s">
        <v>311</v>
      </c>
      <c r="D533" s="137" t="s">
        <v>1504</v>
      </c>
      <c r="E533" s="137" t="s">
        <v>1505</v>
      </c>
      <c r="F533" s="137" t="s">
        <v>180</v>
      </c>
      <c r="G533" s="138">
        <v>42275.0</v>
      </c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30"/>
      <c r="T533" s="30"/>
      <c r="U533" s="30"/>
      <c r="V533" s="30"/>
      <c r="W533" s="30"/>
      <c r="X533" s="30"/>
      <c r="Y533" s="30"/>
      <c r="Z533" s="30"/>
    </row>
    <row r="534" ht="28.5" customHeight="1">
      <c r="A534" s="139" t="s">
        <v>1506</v>
      </c>
      <c r="B534" s="168" t="s">
        <v>1507</v>
      </c>
      <c r="C534" s="38" t="s">
        <v>61</v>
      </c>
      <c r="D534" s="38" t="s">
        <v>1508</v>
      </c>
      <c r="E534" s="38" t="s">
        <v>1509</v>
      </c>
      <c r="F534" s="38" t="s">
        <v>114</v>
      </c>
      <c r="G534" s="140">
        <v>42272.0</v>
      </c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30"/>
      <c r="T534" s="30"/>
      <c r="U534" s="30"/>
      <c r="V534" s="30"/>
      <c r="W534" s="30"/>
      <c r="X534" s="30"/>
      <c r="Y534" s="30"/>
      <c r="Z534" s="30"/>
    </row>
    <row r="535" ht="51.0" customHeight="1">
      <c r="A535" s="135" t="s">
        <v>1510</v>
      </c>
      <c r="B535" s="166" t="s">
        <v>1511</v>
      </c>
      <c r="C535" s="137" t="s">
        <v>195</v>
      </c>
      <c r="D535" s="137" t="s">
        <v>1512</v>
      </c>
      <c r="E535" s="137" t="s">
        <v>1513</v>
      </c>
      <c r="F535" s="137" t="s">
        <v>1287</v>
      </c>
      <c r="G535" s="138">
        <v>42276.0</v>
      </c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30"/>
      <c r="T535" s="30"/>
      <c r="U535" s="30"/>
      <c r="V535" s="30"/>
      <c r="W535" s="30"/>
      <c r="X535" s="30"/>
      <c r="Y535" s="30"/>
      <c r="Z535" s="30"/>
    </row>
    <row r="536" ht="51.0" customHeight="1">
      <c r="A536" s="139" t="s">
        <v>1514</v>
      </c>
      <c r="B536" s="168" t="s">
        <v>1515</v>
      </c>
      <c r="C536" s="38" t="s">
        <v>18</v>
      </c>
      <c r="D536" s="38" t="s">
        <v>1516</v>
      </c>
      <c r="E536" s="38" t="s">
        <v>1517</v>
      </c>
      <c r="F536" s="38" t="s">
        <v>963</v>
      </c>
      <c r="G536" s="140">
        <v>42272.0</v>
      </c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30"/>
      <c r="T536" s="30"/>
      <c r="U536" s="30"/>
      <c r="V536" s="30"/>
      <c r="W536" s="30"/>
      <c r="X536" s="30"/>
      <c r="Y536" s="30"/>
      <c r="Z536" s="30"/>
    </row>
    <row r="537" ht="28.5" customHeight="1">
      <c r="A537" s="135" t="s">
        <v>1518</v>
      </c>
      <c r="B537" s="166" t="s">
        <v>1519</v>
      </c>
      <c r="C537" s="137" t="s">
        <v>18</v>
      </c>
      <c r="D537" s="137" t="s">
        <v>1520</v>
      </c>
      <c r="E537" s="137" t="s">
        <v>1521</v>
      </c>
      <c r="F537" s="137" t="s">
        <v>963</v>
      </c>
      <c r="G537" s="138">
        <v>42268.0</v>
      </c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30"/>
      <c r="T537" s="30"/>
      <c r="U537" s="30"/>
      <c r="V537" s="30"/>
      <c r="W537" s="30"/>
      <c r="X537" s="30"/>
      <c r="Y537" s="30"/>
      <c r="Z537" s="30"/>
    </row>
    <row r="538" ht="38.25" customHeight="1">
      <c r="A538" s="139" t="s">
        <v>3058</v>
      </c>
      <c r="B538" s="168" t="s">
        <v>1522</v>
      </c>
      <c r="C538" s="38" t="s">
        <v>1022</v>
      </c>
      <c r="D538" s="38" t="s">
        <v>1523</v>
      </c>
      <c r="E538" s="38" t="s">
        <v>1524</v>
      </c>
      <c r="F538" s="38" t="s">
        <v>31</v>
      </c>
      <c r="G538" s="140">
        <v>42276.0</v>
      </c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30"/>
      <c r="T538" s="30"/>
      <c r="U538" s="30"/>
      <c r="V538" s="30"/>
      <c r="W538" s="30"/>
      <c r="X538" s="30"/>
      <c r="Y538" s="30"/>
      <c r="Z538" s="30"/>
    </row>
    <row r="539" ht="63.75" customHeight="1">
      <c r="A539" s="135" t="s">
        <v>3059</v>
      </c>
      <c r="B539" s="166" t="s">
        <v>1525</v>
      </c>
      <c r="C539" s="137" t="s">
        <v>234</v>
      </c>
      <c r="D539" s="137" t="s">
        <v>1526</v>
      </c>
      <c r="E539" s="137" t="s">
        <v>1527</v>
      </c>
      <c r="F539" s="137" t="s">
        <v>88</v>
      </c>
      <c r="G539" s="138">
        <v>42276.0</v>
      </c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30"/>
      <c r="T539" s="30"/>
      <c r="U539" s="30"/>
      <c r="V539" s="30"/>
      <c r="W539" s="30"/>
      <c r="X539" s="30"/>
      <c r="Y539" s="30"/>
      <c r="Z539" s="30"/>
    </row>
    <row r="540" ht="38.25" customHeight="1">
      <c r="A540" s="139" t="s">
        <v>1528</v>
      </c>
      <c r="B540" s="168" t="s">
        <v>1529</v>
      </c>
      <c r="C540" s="38" t="s">
        <v>1022</v>
      </c>
      <c r="D540" s="38" t="s">
        <v>1530</v>
      </c>
      <c r="E540" s="38" t="s">
        <v>1531</v>
      </c>
      <c r="F540" s="38" t="s">
        <v>232</v>
      </c>
      <c r="G540" s="140">
        <v>42275.0</v>
      </c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30"/>
      <c r="T540" s="30"/>
      <c r="U540" s="30"/>
      <c r="V540" s="30"/>
      <c r="W540" s="30"/>
      <c r="X540" s="30"/>
      <c r="Y540" s="30"/>
      <c r="Z540" s="30"/>
    </row>
    <row r="541" ht="51.0" customHeight="1">
      <c r="A541" s="135" t="s">
        <v>1532</v>
      </c>
      <c r="B541" s="166" t="s">
        <v>1533</v>
      </c>
      <c r="C541" s="137" t="s">
        <v>1468</v>
      </c>
      <c r="D541" s="137" t="s">
        <v>1534</v>
      </c>
      <c r="E541" s="137" t="s">
        <v>1535</v>
      </c>
      <c r="F541" s="137" t="s">
        <v>356</v>
      </c>
      <c r="G541" s="138">
        <v>42275.0</v>
      </c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30"/>
      <c r="T541" s="30"/>
      <c r="U541" s="30"/>
      <c r="V541" s="30"/>
      <c r="W541" s="30"/>
      <c r="X541" s="30"/>
      <c r="Y541" s="30"/>
      <c r="Z541" s="30"/>
    </row>
    <row r="542" ht="51.0" customHeight="1">
      <c r="A542" s="139" t="s">
        <v>1536</v>
      </c>
      <c r="B542" s="168" t="s">
        <v>1537</v>
      </c>
      <c r="C542" s="38" t="s">
        <v>70</v>
      </c>
      <c r="D542" s="38" t="s">
        <v>1538</v>
      </c>
      <c r="E542" s="38" t="s">
        <v>1539</v>
      </c>
      <c r="F542" s="38" t="s">
        <v>356</v>
      </c>
      <c r="G542" s="140">
        <v>42275.0</v>
      </c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30"/>
      <c r="T542" s="30"/>
      <c r="U542" s="30"/>
      <c r="V542" s="30"/>
      <c r="W542" s="30"/>
      <c r="X542" s="30"/>
      <c r="Y542" s="30"/>
      <c r="Z542" s="30"/>
    </row>
    <row r="543" ht="42.75" customHeight="1">
      <c r="A543" s="135" t="s">
        <v>1540</v>
      </c>
      <c r="B543" s="166" t="s">
        <v>1541</v>
      </c>
      <c r="C543" s="137" t="s">
        <v>111</v>
      </c>
      <c r="D543" s="137" t="s">
        <v>1542</v>
      </c>
      <c r="E543" s="137" t="s">
        <v>1543</v>
      </c>
      <c r="F543" s="137" t="s">
        <v>232</v>
      </c>
      <c r="G543" s="138">
        <v>42412.0</v>
      </c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30"/>
      <c r="T543" s="30"/>
      <c r="U543" s="30"/>
      <c r="V543" s="30"/>
      <c r="W543" s="30"/>
      <c r="X543" s="30"/>
      <c r="Y543" s="30"/>
      <c r="Z543" s="30"/>
    </row>
    <row r="544" ht="42.75" customHeight="1">
      <c r="A544" s="210" t="s">
        <v>1544</v>
      </c>
      <c r="B544" s="168" t="s">
        <v>1545</v>
      </c>
      <c r="C544" s="38" t="s">
        <v>159</v>
      </c>
      <c r="D544" s="38" t="s">
        <v>1546</v>
      </c>
      <c r="E544" s="38" t="s">
        <v>1547</v>
      </c>
      <c r="F544" s="38" t="s">
        <v>162</v>
      </c>
      <c r="G544" s="140">
        <v>42403.0</v>
      </c>
      <c r="H544" s="29" t="s">
        <v>3060</v>
      </c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30"/>
      <c r="T544" s="30"/>
      <c r="U544" s="30"/>
      <c r="V544" s="30"/>
      <c r="W544" s="30"/>
      <c r="X544" s="30"/>
      <c r="Y544" s="30"/>
      <c r="Z544" s="30"/>
    </row>
    <row r="545" ht="42.75" customHeight="1">
      <c r="A545" s="197" t="s">
        <v>1548</v>
      </c>
      <c r="B545" s="166" t="s">
        <v>1549</v>
      </c>
      <c r="C545" s="137" t="s">
        <v>159</v>
      </c>
      <c r="D545" s="137" t="s">
        <v>1550</v>
      </c>
      <c r="E545" s="137" t="s">
        <v>1551</v>
      </c>
      <c r="F545" s="137" t="s">
        <v>1011</v>
      </c>
      <c r="G545" s="138">
        <v>42411.0</v>
      </c>
      <c r="H545" s="29" t="s">
        <v>3060</v>
      </c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30"/>
      <c r="T545" s="30"/>
      <c r="U545" s="30"/>
      <c r="V545" s="30"/>
      <c r="W545" s="30"/>
      <c r="X545" s="30"/>
      <c r="Y545" s="30"/>
      <c r="Z545" s="30"/>
    </row>
    <row r="546" ht="42.75" customHeight="1">
      <c r="A546" s="139" t="s">
        <v>1552</v>
      </c>
      <c r="B546" s="168" t="s">
        <v>1553</v>
      </c>
      <c r="C546" s="38" t="s">
        <v>23</v>
      </c>
      <c r="D546" s="38" t="s">
        <v>1554</v>
      </c>
      <c r="E546" s="38" t="s">
        <v>1555</v>
      </c>
      <c r="F546" s="38" t="s">
        <v>147</v>
      </c>
      <c r="G546" s="140">
        <v>42396.0</v>
      </c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30"/>
      <c r="T546" s="30"/>
      <c r="U546" s="30"/>
      <c r="V546" s="30"/>
      <c r="W546" s="30"/>
      <c r="X546" s="30"/>
      <c r="Y546" s="30"/>
      <c r="Z546" s="30"/>
    </row>
    <row r="547" ht="71.25" customHeight="1">
      <c r="A547" s="135" t="s">
        <v>1556</v>
      </c>
      <c r="B547" s="137" t="s">
        <v>1557</v>
      </c>
      <c r="C547" s="137" t="s">
        <v>276</v>
      </c>
      <c r="D547" s="137" t="s">
        <v>1558</v>
      </c>
      <c r="E547" s="137" t="s">
        <v>1559</v>
      </c>
      <c r="F547" s="137" t="s">
        <v>184</v>
      </c>
      <c r="G547" s="138">
        <v>42348.0</v>
      </c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30"/>
      <c r="T547" s="30"/>
      <c r="U547" s="30"/>
      <c r="V547" s="30"/>
      <c r="W547" s="30"/>
      <c r="X547" s="30"/>
      <c r="Y547" s="30"/>
      <c r="Z547" s="30"/>
    </row>
    <row r="548" ht="51.0" customHeight="1">
      <c r="A548" s="135" t="s">
        <v>1560</v>
      </c>
      <c r="B548" s="166" t="s">
        <v>1561</v>
      </c>
      <c r="C548" s="137" t="s">
        <v>70</v>
      </c>
      <c r="D548" s="137" t="s">
        <v>1562</v>
      </c>
      <c r="E548" s="137" t="s">
        <v>1563</v>
      </c>
      <c r="F548" s="137" t="s">
        <v>180</v>
      </c>
      <c r="G548" s="138">
        <v>42411.0</v>
      </c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30"/>
      <c r="T548" s="30"/>
      <c r="U548" s="30"/>
      <c r="V548" s="30"/>
      <c r="W548" s="30"/>
      <c r="X548" s="30"/>
      <c r="Y548" s="30"/>
      <c r="Z548" s="30"/>
    </row>
    <row r="549" ht="42.75" customHeight="1">
      <c r="A549" s="139" t="s">
        <v>1564</v>
      </c>
      <c r="B549" s="168" t="s">
        <v>1565</v>
      </c>
      <c r="C549" s="38" t="s">
        <v>252</v>
      </c>
      <c r="D549" s="38" t="s">
        <v>1566</v>
      </c>
      <c r="E549" s="38" t="s">
        <v>1567</v>
      </c>
      <c r="F549" s="38" t="s">
        <v>947</v>
      </c>
      <c r="G549" s="140">
        <v>42403.0</v>
      </c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30"/>
      <c r="T549" s="30"/>
      <c r="U549" s="30"/>
      <c r="V549" s="30"/>
      <c r="W549" s="30"/>
      <c r="X549" s="30"/>
      <c r="Y549" s="30"/>
      <c r="Z549" s="30"/>
    </row>
    <row r="550" ht="42.75" customHeight="1">
      <c r="A550" s="135" t="s">
        <v>1568</v>
      </c>
      <c r="B550" s="166" t="s">
        <v>1569</v>
      </c>
      <c r="C550" s="137" t="s">
        <v>47</v>
      </c>
      <c r="D550" s="137" t="s">
        <v>1570</v>
      </c>
      <c r="E550" s="137" t="s">
        <v>1571</v>
      </c>
      <c r="F550" s="137" t="s">
        <v>88</v>
      </c>
      <c r="G550" s="138">
        <v>42411.0</v>
      </c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30"/>
      <c r="T550" s="30"/>
      <c r="U550" s="30"/>
      <c r="V550" s="30"/>
      <c r="W550" s="30"/>
      <c r="X550" s="30"/>
      <c r="Y550" s="30"/>
      <c r="Z550" s="30"/>
    </row>
    <row r="551" ht="63.75" customHeight="1">
      <c r="A551" s="139" t="s">
        <v>1572</v>
      </c>
      <c r="B551" s="168" t="s">
        <v>1573</v>
      </c>
      <c r="C551" s="38" t="s">
        <v>767</v>
      </c>
      <c r="D551" s="38" t="s">
        <v>1574</v>
      </c>
      <c r="E551" s="38" t="s">
        <v>1575</v>
      </c>
      <c r="F551" s="38" t="s">
        <v>1044</v>
      </c>
      <c r="G551" s="140">
        <v>42412.0</v>
      </c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30"/>
      <c r="T551" s="30"/>
      <c r="U551" s="30"/>
      <c r="V551" s="30"/>
      <c r="W551" s="30"/>
      <c r="X551" s="30"/>
      <c r="Y551" s="30"/>
      <c r="Z551" s="30"/>
    </row>
    <row r="552" ht="51.0" customHeight="1">
      <c r="A552" s="135" t="s">
        <v>1576</v>
      </c>
      <c r="B552" s="166" t="s">
        <v>1577</v>
      </c>
      <c r="C552" s="137" t="s">
        <v>70</v>
      </c>
      <c r="D552" s="137" t="s">
        <v>1578</v>
      </c>
      <c r="E552" s="137" t="s">
        <v>1579</v>
      </c>
      <c r="F552" s="137" t="s">
        <v>356</v>
      </c>
      <c r="G552" s="138">
        <v>42411.0</v>
      </c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30"/>
      <c r="T552" s="30"/>
      <c r="U552" s="30"/>
      <c r="V552" s="30"/>
      <c r="W552" s="30"/>
      <c r="X552" s="30"/>
      <c r="Y552" s="30"/>
      <c r="Z552" s="30"/>
    </row>
    <row r="553" ht="63.75" customHeight="1">
      <c r="A553" s="139" t="s">
        <v>1580</v>
      </c>
      <c r="B553" s="168" t="s">
        <v>1581</v>
      </c>
      <c r="C553" s="38" t="s">
        <v>70</v>
      </c>
      <c r="D553" s="38" t="s">
        <v>1582</v>
      </c>
      <c r="E553" s="38" t="s">
        <v>1583</v>
      </c>
      <c r="F553" s="38" t="s">
        <v>356</v>
      </c>
      <c r="G553" s="140">
        <v>42411.0</v>
      </c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30"/>
      <c r="T553" s="30"/>
      <c r="U553" s="30"/>
      <c r="V553" s="30"/>
      <c r="W553" s="30"/>
      <c r="X553" s="30"/>
      <c r="Y553" s="30"/>
      <c r="Z553" s="30"/>
    </row>
    <row r="554" ht="51.0" customHeight="1">
      <c r="A554" s="135" t="s">
        <v>1584</v>
      </c>
      <c r="B554" s="166" t="s">
        <v>1585</v>
      </c>
      <c r="C554" s="137" t="s">
        <v>18</v>
      </c>
      <c r="D554" s="137" t="s">
        <v>1586</v>
      </c>
      <c r="E554" s="137" t="s">
        <v>1587</v>
      </c>
      <c r="F554" s="137" t="s">
        <v>88</v>
      </c>
      <c r="G554" s="138">
        <v>42411.0</v>
      </c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30"/>
      <c r="T554" s="30"/>
      <c r="U554" s="30"/>
      <c r="V554" s="30"/>
      <c r="W554" s="30"/>
      <c r="X554" s="30"/>
      <c r="Y554" s="30"/>
      <c r="Z554" s="30"/>
    </row>
    <row r="555" ht="28.5" customHeight="1">
      <c r="A555" s="139" t="s">
        <v>1588</v>
      </c>
      <c r="B555" s="168" t="s">
        <v>1589</v>
      </c>
      <c r="C555" s="38" t="s">
        <v>61</v>
      </c>
      <c r="D555" s="38" t="s">
        <v>1590</v>
      </c>
      <c r="E555" s="38" t="s">
        <v>1591</v>
      </c>
      <c r="F555" s="38" t="s">
        <v>114</v>
      </c>
      <c r="G555" s="140">
        <v>42411.0</v>
      </c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30"/>
      <c r="T555" s="30"/>
      <c r="U555" s="30"/>
      <c r="V555" s="30"/>
      <c r="W555" s="30"/>
      <c r="X555" s="30"/>
      <c r="Y555" s="30"/>
      <c r="Z555" s="30"/>
    </row>
    <row r="556" ht="42.75" customHeight="1">
      <c r="A556" s="135" t="s">
        <v>1592</v>
      </c>
      <c r="B556" s="166" t="s">
        <v>1593</v>
      </c>
      <c r="C556" s="137" t="s">
        <v>167</v>
      </c>
      <c r="D556" s="137" t="s">
        <v>1594</v>
      </c>
      <c r="E556" s="137" t="s">
        <v>1595</v>
      </c>
      <c r="F556" s="137" t="s">
        <v>685</v>
      </c>
      <c r="G556" s="138">
        <v>42403.0</v>
      </c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30"/>
      <c r="T556" s="30"/>
      <c r="U556" s="30"/>
      <c r="V556" s="30"/>
      <c r="W556" s="30"/>
      <c r="X556" s="30"/>
      <c r="Y556" s="30"/>
      <c r="Z556" s="30"/>
    </row>
    <row r="557" ht="42.75" customHeight="1">
      <c r="A557" s="139" t="s">
        <v>1596</v>
      </c>
      <c r="B557" s="168" t="s">
        <v>1597</v>
      </c>
      <c r="C557" s="38" t="s">
        <v>1022</v>
      </c>
      <c r="D557" s="38" t="s">
        <v>1598</v>
      </c>
      <c r="E557" s="38" t="s">
        <v>1599</v>
      </c>
      <c r="F557" s="38" t="s">
        <v>1466</v>
      </c>
      <c r="G557" s="140">
        <v>42411.0</v>
      </c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30"/>
      <c r="T557" s="30"/>
      <c r="U557" s="30"/>
      <c r="V557" s="30"/>
      <c r="W557" s="30"/>
      <c r="X557" s="30"/>
      <c r="Y557" s="30"/>
      <c r="Z557" s="30"/>
    </row>
    <row r="558" ht="42.75" customHeight="1">
      <c r="A558" s="135" t="s">
        <v>1600</v>
      </c>
      <c r="B558" s="166" t="s">
        <v>1601</v>
      </c>
      <c r="C558" s="137" t="s">
        <v>252</v>
      </c>
      <c r="D558" s="137" t="s">
        <v>1602</v>
      </c>
      <c r="E558" s="137" t="s">
        <v>1603</v>
      </c>
      <c r="F558" s="137" t="s">
        <v>73</v>
      </c>
      <c r="G558" s="138">
        <v>42412.0</v>
      </c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30"/>
      <c r="T558" s="30"/>
      <c r="U558" s="30"/>
      <c r="V558" s="30"/>
      <c r="W558" s="30"/>
      <c r="X558" s="30"/>
      <c r="Y558" s="30"/>
      <c r="Z558" s="30"/>
    </row>
    <row r="559" ht="42.75" customHeight="1">
      <c r="A559" s="139" t="s">
        <v>1604</v>
      </c>
      <c r="B559" s="168" t="s">
        <v>1605</v>
      </c>
      <c r="C559" s="38" t="s">
        <v>43</v>
      </c>
      <c r="D559" s="38" t="s">
        <v>1606</v>
      </c>
      <c r="E559" s="38" t="s">
        <v>1607</v>
      </c>
      <c r="F559" s="38" t="s">
        <v>963</v>
      </c>
      <c r="G559" s="140">
        <v>42412.0</v>
      </c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30"/>
      <c r="T559" s="30"/>
      <c r="U559" s="30"/>
      <c r="V559" s="30"/>
      <c r="W559" s="30"/>
      <c r="X559" s="30"/>
      <c r="Y559" s="30"/>
      <c r="Z559" s="30"/>
    </row>
    <row r="560" ht="38.25" customHeight="1">
      <c r="A560" s="135" t="s">
        <v>1608</v>
      </c>
      <c r="B560" s="166" t="s">
        <v>1609</v>
      </c>
      <c r="C560" s="137" t="s">
        <v>252</v>
      </c>
      <c r="D560" s="137" t="s">
        <v>1610</v>
      </c>
      <c r="E560" s="137" t="s">
        <v>1611</v>
      </c>
      <c r="F560" s="137" t="s">
        <v>1020</v>
      </c>
      <c r="G560" s="138">
        <v>42411.0</v>
      </c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30"/>
      <c r="T560" s="30"/>
      <c r="U560" s="30"/>
      <c r="V560" s="30"/>
      <c r="W560" s="30"/>
      <c r="X560" s="30"/>
      <c r="Y560" s="30"/>
      <c r="Z560" s="30"/>
    </row>
    <row r="561" ht="38.25" customHeight="1">
      <c r="A561" s="139" t="s">
        <v>1612</v>
      </c>
      <c r="B561" s="211" t="s">
        <v>1613</v>
      </c>
      <c r="C561" s="38" t="s">
        <v>1022</v>
      </c>
      <c r="D561" s="38" t="s">
        <v>1614</v>
      </c>
      <c r="E561" s="38" t="s">
        <v>1615</v>
      </c>
      <c r="F561" s="38" t="s">
        <v>184</v>
      </c>
      <c r="G561" s="140">
        <v>42403.0</v>
      </c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30"/>
      <c r="T561" s="30"/>
      <c r="U561" s="30"/>
      <c r="V561" s="30"/>
      <c r="W561" s="30"/>
      <c r="X561" s="30"/>
      <c r="Y561" s="30"/>
      <c r="Z561" s="30"/>
    </row>
    <row r="562" ht="51.75" customHeight="1">
      <c r="A562" s="135" t="s">
        <v>1616</v>
      </c>
      <c r="B562" s="166" t="s">
        <v>1617</v>
      </c>
      <c r="C562" s="137" t="s">
        <v>252</v>
      </c>
      <c r="D562" s="137" t="s">
        <v>1618</v>
      </c>
      <c r="E562" s="137" t="s">
        <v>1619</v>
      </c>
      <c r="F562" s="137" t="s">
        <v>1466</v>
      </c>
      <c r="G562" s="138">
        <v>42411.0</v>
      </c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30"/>
      <c r="T562" s="30"/>
      <c r="U562" s="30"/>
      <c r="V562" s="30"/>
      <c r="W562" s="30"/>
      <c r="X562" s="30"/>
      <c r="Y562" s="30"/>
      <c r="Z562" s="30"/>
    </row>
    <row r="563" ht="51.0" customHeight="1">
      <c r="A563" s="203" t="s">
        <v>1620</v>
      </c>
      <c r="B563" s="212" t="s">
        <v>1621</v>
      </c>
      <c r="C563" s="205" t="s">
        <v>195</v>
      </c>
      <c r="D563" s="205" t="s">
        <v>1622</v>
      </c>
      <c r="E563" s="137" t="s">
        <v>1623</v>
      </c>
      <c r="F563" s="205" t="s">
        <v>88</v>
      </c>
      <c r="G563" s="206">
        <v>42411.0</v>
      </c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30"/>
      <c r="T563" s="30"/>
      <c r="U563" s="30"/>
      <c r="V563" s="30"/>
      <c r="W563" s="30"/>
      <c r="X563" s="30"/>
      <c r="Y563" s="30"/>
      <c r="Z563" s="30"/>
    </row>
    <row r="564" ht="25.5" customHeight="1">
      <c r="A564" s="131" t="s">
        <v>1624</v>
      </c>
      <c r="B564" s="208" t="s">
        <v>1625</v>
      </c>
      <c r="C564" s="132" t="s">
        <v>1626</v>
      </c>
      <c r="D564" s="132" t="s">
        <v>1627</v>
      </c>
      <c r="E564" s="132" t="s">
        <v>1628</v>
      </c>
      <c r="F564" s="132" t="s">
        <v>356</v>
      </c>
      <c r="G564" s="213">
        <v>42788.0</v>
      </c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8"/>
      <c r="T564" s="8"/>
      <c r="U564" s="8"/>
      <c r="V564" s="8"/>
      <c r="W564" s="8"/>
      <c r="X564" s="8"/>
      <c r="Y564" s="8"/>
      <c r="Z564" s="8"/>
    </row>
    <row r="565" ht="51.0" customHeight="1">
      <c r="A565" s="135" t="s">
        <v>1629</v>
      </c>
      <c r="B565" s="214" t="s">
        <v>1630</v>
      </c>
      <c r="C565" s="137" t="s">
        <v>1631</v>
      </c>
      <c r="D565" s="137" t="s">
        <v>1632</v>
      </c>
      <c r="E565" s="137" t="s">
        <v>1633</v>
      </c>
      <c r="F565" s="137" t="s">
        <v>184</v>
      </c>
      <c r="G565" s="138">
        <v>42788.0</v>
      </c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8"/>
      <c r="T565" s="8"/>
      <c r="U565" s="8"/>
      <c r="V565" s="8"/>
      <c r="W565" s="8"/>
      <c r="X565" s="8"/>
      <c r="Y565" s="8"/>
      <c r="Z565" s="8"/>
    </row>
    <row r="566" ht="38.25" customHeight="1">
      <c r="A566" s="139" t="s">
        <v>1634</v>
      </c>
      <c r="B566" s="168" t="s">
        <v>1635</v>
      </c>
      <c r="C566" s="119" t="s">
        <v>23</v>
      </c>
      <c r="D566" s="119" t="s">
        <v>1636</v>
      </c>
      <c r="E566" s="119" t="s">
        <v>1637</v>
      </c>
      <c r="F566" s="119" t="s">
        <v>184</v>
      </c>
      <c r="G566" s="215">
        <v>42788.0</v>
      </c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8"/>
      <c r="T566" s="8"/>
      <c r="U566" s="8"/>
      <c r="V566" s="8"/>
      <c r="W566" s="8"/>
      <c r="X566" s="8"/>
      <c r="Y566" s="8"/>
      <c r="Z566" s="8"/>
    </row>
    <row r="567" ht="42.75" customHeight="1">
      <c r="A567" s="135" t="s">
        <v>1638</v>
      </c>
      <c r="B567" s="166" t="s">
        <v>1639</v>
      </c>
      <c r="C567" s="137" t="s">
        <v>167</v>
      </c>
      <c r="D567" s="137" t="s">
        <v>1640</v>
      </c>
      <c r="E567" s="137" t="s">
        <v>1641</v>
      </c>
      <c r="F567" s="137" t="s">
        <v>1020</v>
      </c>
      <c r="G567" s="138">
        <v>42787.0</v>
      </c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8"/>
      <c r="T567" s="8"/>
      <c r="U567" s="8"/>
      <c r="V567" s="8"/>
      <c r="W567" s="8"/>
      <c r="X567" s="8"/>
      <c r="Y567" s="8"/>
      <c r="Z567" s="8"/>
    </row>
    <row r="568" ht="38.25" customHeight="1">
      <c r="A568" s="139" t="s">
        <v>1642</v>
      </c>
      <c r="B568" s="168" t="s">
        <v>1643</v>
      </c>
      <c r="C568" s="119" t="s">
        <v>754</v>
      </c>
      <c r="D568" s="119" t="s">
        <v>1644</v>
      </c>
      <c r="E568" s="119" t="s">
        <v>1645</v>
      </c>
      <c r="F568" s="119" t="s">
        <v>473</v>
      </c>
      <c r="G568" s="215">
        <v>42788.0</v>
      </c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8"/>
      <c r="T568" s="8"/>
      <c r="U568" s="8"/>
      <c r="V568" s="8"/>
      <c r="W568" s="8"/>
      <c r="X568" s="8"/>
      <c r="Y568" s="8"/>
      <c r="Z568" s="8"/>
    </row>
    <row r="569" ht="51.0" customHeight="1">
      <c r="A569" s="135" t="s">
        <v>1646</v>
      </c>
      <c r="B569" s="166" t="s">
        <v>1647</v>
      </c>
      <c r="C569" s="137" t="s">
        <v>1022</v>
      </c>
      <c r="D569" s="137" t="s">
        <v>1648</v>
      </c>
      <c r="E569" s="137" t="s">
        <v>1649</v>
      </c>
      <c r="F569" s="137" t="s">
        <v>1287</v>
      </c>
      <c r="G569" s="138">
        <v>42788.0</v>
      </c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8"/>
      <c r="T569" s="8"/>
      <c r="U569" s="8"/>
      <c r="V569" s="8"/>
      <c r="W569" s="8"/>
      <c r="X569" s="8"/>
      <c r="Y569" s="8"/>
      <c r="Z569" s="8"/>
    </row>
    <row r="570" ht="42.75" customHeight="1">
      <c r="A570" s="139" t="s">
        <v>1650</v>
      </c>
      <c r="B570" s="168" t="s">
        <v>1651</v>
      </c>
      <c r="C570" s="119" t="s">
        <v>1652</v>
      </c>
      <c r="D570" s="119" t="s">
        <v>1653</v>
      </c>
      <c r="E570" s="119" t="s">
        <v>1654</v>
      </c>
      <c r="F570" s="119" t="s">
        <v>1011</v>
      </c>
      <c r="G570" s="215">
        <v>42781.0</v>
      </c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8"/>
      <c r="T570" s="8"/>
      <c r="U570" s="8"/>
      <c r="V570" s="8"/>
      <c r="W570" s="8"/>
      <c r="X570" s="8"/>
      <c r="Y570" s="8"/>
      <c r="Z570" s="8"/>
    </row>
    <row r="571" ht="51.0" customHeight="1">
      <c r="A571" s="135" t="s">
        <v>1655</v>
      </c>
      <c r="B571" s="166" t="s">
        <v>1656</v>
      </c>
      <c r="C571" s="137" t="s">
        <v>1022</v>
      </c>
      <c r="D571" s="137" t="s">
        <v>1657</v>
      </c>
      <c r="E571" s="137" t="s">
        <v>1658</v>
      </c>
      <c r="F571" s="137" t="s">
        <v>232</v>
      </c>
      <c r="G571" s="138">
        <v>42787.0</v>
      </c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8"/>
      <c r="T571" s="8"/>
      <c r="U571" s="8"/>
      <c r="V571" s="8"/>
      <c r="W571" s="8"/>
      <c r="X571" s="8"/>
      <c r="Y571" s="8"/>
      <c r="Z571" s="8"/>
    </row>
    <row r="572" ht="51.0" customHeight="1">
      <c r="A572" s="139" t="s">
        <v>1659</v>
      </c>
      <c r="B572" s="168" t="s">
        <v>1660</v>
      </c>
      <c r="C572" s="119" t="s">
        <v>1661</v>
      </c>
      <c r="D572" s="119" t="s">
        <v>1662</v>
      </c>
      <c r="E572" s="119" t="s">
        <v>1663</v>
      </c>
      <c r="F572" s="119" t="s">
        <v>963</v>
      </c>
      <c r="G572" s="215">
        <v>42788.0</v>
      </c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8"/>
      <c r="T572" s="8"/>
      <c r="U572" s="8"/>
      <c r="V572" s="8"/>
      <c r="W572" s="8"/>
      <c r="X572" s="8"/>
      <c r="Y572" s="8"/>
      <c r="Z572" s="8"/>
    </row>
    <row r="573" ht="42.75" customHeight="1">
      <c r="A573" s="135" t="s">
        <v>1664</v>
      </c>
      <c r="B573" s="166" t="s">
        <v>1665</v>
      </c>
      <c r="C573" s="137" t="s">
        <v>195</v>
      </c>
      <c r="D573" s="137" t="s">
        <v>1666</v>
      </c>
      <c r="E573" s="137" t="s">
        <v>1667</v>
      </c>
      <c r="F573" s="137" t="s">
        <v>1287</v>
      </c>
      <c r="G573" s="138">
        <v>42788.0</v>
      </c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8"/>
      <c r="T573" s="8"/>
      <c r="U573" s="8"/>
      <c r="V573" s="8"/>
      <c r="W573" s="8"/>
      <c r="X573" s="8"/>
      <c r="Y573" s="8"/>
      <c r="Z573" s="8"/>
    </row>
    <row r="574" ht="38.25" customHeight="1">
      <c r="A574" s="139" t="s">
        <v>1668</v>
      </c>
      <c r="B574" s="168" t="s">
        <v>1669</v>
      </c>
      <c r="C574" s="119" t="s">
        <v>1670</v>
      </c>
      <c r="D574" s="119" t="s">
        <v>1671</v>
      </c>
      <c r="E574" s="119" t="s">
        <v>1672</v>
      </c>
      <c r="F574" s="119" t="s">
        <v>1185</v>
      </c>
      <c r="G574" s="215">
        <v>42786.0</v>
      </c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8"/>
      <c r="T574" s="8"/>
      <c r="U574" s="8"/>
      <c r="V574" s="8"/>
      <c r="W574" s="8"/>
      <c r="X574" s="8"/>
      <c r="Y574" s="8"/>
      <c r="Z574" s="8"/>
    </row>
    <row r="575" ht="38.25" customHeight="1">
      <c r="A575" s="135" t="s">
        <v>1673</v>
      </c>
      <c r="B575" s="166" t="s">
        <v>1674</v>
      </c>
      <c r="C575" s="137" t="s">
        <v>767</v>
      </c>
      <c r="D575" s="137" t="s">
        <v>1675</v>
      </c>
      <c r="E575" s="137" t="s">
        <v>1676</v>
      </c>
      <c r="F575" s="137" t="s">
        <v>1044</v>
      </c>
      <c r="G575" s="138">
        <v>42788.0</v>
      </c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8"/>
      <c r="T575" s="8"/>
      <c r="U575" s="8"/>
      <c r="V575" s="8"/>
      <c r="W575" s="8"/>
      <c r="X575" s="8"/>
      <c r="Y575" s="8"/>
      <c r="Z575" s="8"/>
    </row>
    <row r="576" ht="51.0" customHeight="1">
      <c r="A576" s="139" t="s">
        <v>1677</v>
      </c>
      <c r="B576" s="168" t="s">
        <v>1678</v>
      </c>
      <c r="C576" s="119" t="s">
        <v>1679</v>
      </c>
      <c r="D576" s="119" t="s">
        <v>1680</v>
      </c>
      <c r="E576" s="119" t="s">
        <v>1681</v>
      </c>
      <c r="F576" s="119" t="s">
        <v>1466</v>
      </c>
      <c r="G576" s="215">
        <v>42787.0</v>
      </c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8"/>
      <c r="T576" s="8"/>
      <c r="U576" s="8"/>
      <c r="V576" s="8"/>
      <c r="W576" s="8"/>
      <c r="X576" s="8"/>
      <c r="Y576" s="8"/>
      <c r="Z576" s="8"/>
    </row>
    <row r="577" ht="38.25" customHeight="1">
      <c r="A577" s="135" t="s">
        <v>1682</v>
      </c>
      <c r="B577" s="166" t="s">
        <v>1683</v>
      </c>
      <c r="C577" s="137" t="s">
        <v>252</v>
      </c>
      <c r="D577" s="137" t="s">
        <v>1684</v>
      </c>
      <c r="E577" s="137" t="s">
        <v>1685</v>
      </c>
      <c r="F577" s="137" t="s">
        <v>685</v>
      </c>
      <c r="G577" s="138">
        <v>42786.0</v>
      </c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8"/>
      <c r="T577" s="8"/>
      <c r="U577" s="8"/>
      <c r="V577" s="8"/>
      <c r="W577" s="8"/>
      <c r="X577" s="8"/>
      <c r="Y577" s="8"/>
      <c r="Z577" s="8"/>
    </row>
    <row r="578" ht="38.25" customHeight="1">
      <c r="A578" s="139" t="s">
        <v>1686</v>
      </c>
      <c r="B578" s="168" t="s">
        <v>1687</v>
      </c>
      <c r="C578" s="119" t="s">
        <v>1688</v>
      </c>
      <c r="D578" s="119" t="s">
        <v>1689</v>
      </c>
      <c r="E578" s="119" t="s">
        <v>1690</v>
      </c>
      <c r="F578" s="119" t="s">
        <v>232</v>
      </c>
      <c r="G578" s="215">
        <v>42786.0</v>
      </c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8"/>
      <c r="T578" s="8"/>
      <c r="U578" s="8"/>
      <c r="V578" s="8"/>
      <c r="W578" s="8"/>
      <c r="X578" s="8"/>
      <c r="Y578" s="8"/>
      <c r="Z578" s="8"/>
    </row>
    <row r="579" ht="28.5" customHeight="1">
      <c r="A579" s="135" t="s">
        <v>1691</v>
      </c>
      <c r="B579" s="166" t="s">
        <v>1692</v>
      </c>
      <c r="C579" s="137" t="s">
        <v>61</v>
      </c>
      <c r="D579" s="137" t="s">
        <v>1693</v>
      </c>
      <c r="E579" s="137" t="s">
        <v>1694</v>
      </c>
      <c r="F579" s="137" t="s">
        <v>685</v>
      </c>
      <c r="G579" s="138">
        <v>42786.0</v>
      </c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8"/>
      <c r="T579" s="8"/>
      <c r="U579" s="8"/>
      <c r="V579" s="8"/>
      <c r="W579" s="8"/>
      <c r="X579" s="8"/>
      <c r="Y579" s="8"/>
      <c r="Z579" s="8"/>
    </row>
    <row r="580" ht="51.0" customHeight="1">
      <c r="A580" s="139" t="s">
        <v>1695</v>
      </c>
      <c r="B580" s="168" t="s">
        <v>1696</v>
      </c>
      <c r="C580" s="119" t="s">
        <v>52</v>
      </c>
      <c r="D580" s="119" t="s">
        <v>1697</v>
      </c>
      <c r="E580" s="119" t="s">
        <v>1698</v>
      </c>
      <c r="F580" s="119" t="s">
        <v>685</v>
      </c>
      <c r="G580" s="215">
        <v>42780.0</v>
      </c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8"/>
      <c r="T580" s="8"/>
      <c r="U580" s="8"/>
      <c r="V580" s="8"/>
      <c r="W580" s="8"/>
      <c r="X580" s="8"/>
      <c r="Y580" s="8"/>
      <c r="Z580" s="8"/>
    </row>
    <row r="581" ht="63.75" customHeight="1">
      <c r="A581" s="135" t="s">
        <v>1699</v>
      </c>
      <c r="B581" s="166" t="s">
        <v>1700</v>
      </c>
      <c r="C581" s="137" t="s">
        <v>252</v>
      </c>
      <c r="D581" s="137" t="s">
        <v>1701</v>
      </c>
      <c r="E581" s="137" t="s">
        <v>1702</v>
      </c>
      <c r="F581" s="137" t="s">
        <v>162</v>
      </c>
      <c r="G581" s="138">
        <v>42780.0</v>
      </c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8"/>
      <c r="T581" s="8"/>
      <c r="U581" s="8"/>
      <c r="V581" s="8"/>
      <c r="W581" s="8"/>
      <c r="X581" s="8"/>
      <c r="Y581" s="8"/>
      <c r="Z581" s="8"/>
    </row>
    <row r="582" ht="25.5" customHeight="1">
      <c r="A582" s="139" t="s">
        <v>1703</v>
      </c>
      <c r="B582" s="168" t="s">
        <v>1704</v>
      </c>
      <c r="C582" s="119" t="s">
        <v>386</v>
      </c>
      <c r="D582" s="119" t="s">
        <v>1705</v>
      </c>
      <c r="E582" s="119" t="s">
        <v>1706</v>
      </c>
      <c r="F582" s="119" t="s">
        <v>1466</v>
      </c>
      <c r="G582" s="215">
        <v>42787.0</v>
      </c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8"/>
      <c r="T582" s="8"/>
      <c r="U582" s="8"/>
      <c r="V582" s="8"/>
      <c r="W582" s="8"/>
      <c r="X582" s="8"/>
      <c r="Y582" s="8"/>
      <c r="Z582" s="8"/>
    </row>
    <row r="583" ht="42.75" customHeight="1">
      <c r="A583" s="135" t="s">
        <v>1707</v>
      </c>
      <c r="B583" s="166" t="s">
        <v>1708</v>
      </c>
      <c r="C583" s="137" t="s">
        <v>311</v>
      </c>
      <c r="D583" s="137" t="s">
        <v>1709</v>
      </c>
      <c r="E583" s="137" t="s">
        <v>1710</v>
      </c>
      <c r="F583" s="137" t="s">
        <v>180</v>
      </c>
      <c r="G583" s="138">
        <v>42774.0</v>
      </c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8"/>
      <c r="T583" s="8"/>
      <c r="U583" s="8"/>
      <c r="V583" s="8"/>
      <c r="W583" s="8"/>
      <c r="X583" s="8"/>
      <c r="Y583" s="8"/>
      <c r="Z583" s="8"/>
    </row>
    <row r="584" ht="25.5" customHeight="1">
      <c r="A584" s="139" t="s">
        <v>1711</v>
      </c>
      <c r="B584" s="168" t="s">
        <v>1712</v>
      </c>
      <c r="C584" s="119" t="s">
        <v>814</v>
      </c>
      <c r="D584" s="119" t="s">
        <v>1713</v>
      </c>
      <c r="E584" s="119" t="s">
        <v>1714</v>
      </c>
      <c r="F584" s="119" t="s">
        <v>1011</v>
      </c>
      <c r="G584" s="215">
        <v>42781.0</v>
      </c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8"/>
      <c r="T584" s="8"/>
      <c r="U584" s="8"/>
      <c r="V584" s="8"/>
      <c r="W584" s="8"/>
      <c r="X584" s="8"/>
      <c r="Y584" s="8"/>
      <c r="Z584" s="8"/>
    </row>
    <row r="585" ht="28.5" customHeight="1">
      <c r="A585" s="135" t="s">
        <v>1715</v>
      </c>
      <c r="B585" s="166" t="s">
        <v>1716</v>
      </c>
      <c r="C585" s="137" t="s">
        <v>1717</v>
      </c>
      <c r="D585" s="137" t="s">
        <v>1718</v>
      </c>
      <c r="E585" s="137" t="s">
        <v>1719</v>
      </c>
      <c r="F585" s="137" t="s">
        <v>88</v>
      </c>
      <c r="G585" s="138">
        <v>42783.0</v>
      </c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8"/>
      <c r="T585" s="8"/>
      <c r="U585" s="8"/>
      <c r="V585" s="8"/>
      <c r="W585" s="8"/>
      <c r="X585" s="8"/>
      <c r="Y585" s="8"/>
      <c r="Z585" s="8"/>
    </row>
    <row r="586" ht="25.5" customHeight="1">
      <c r="A586" s="139" t="s">
        <v>1720</v>
      </c>
      <c r="B586" s="168" t="s">
        <v>1721</v>
      </c>
      <c r="C586" s="119" t="s">
        <v>1187</v>
      </c>
      <c r="D586" s="119" t="s">
        <v>1722</v>
      </c>
      <c r="E586" s="119" t="s">
        <v>1723</v>
      </c>
      <c r="F586" s="119" t="s">
        <v>1083</v>
      </c>
      <c r="G586" s="215">
        <v>42788.0</v>
      </c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8"/>
      <c r="T586" s="8"/>
      <c r="U586" s="8"/>
      <c r="V586" s="8"/>
      <c r="W586" s="8"/>
      <c r="X586" s="8"/>
      <c r="Y586" s="8"/>
      <c r="Z586" s="8"/>
    </row>
    <row r="587" ht="42.75" customHeight="1">
      <c r="A587" s="135" t="s">
        <v>1724</v>
      </c>
      <c r="B587" s="166" t="s">
        <v>1725</v>
      </c>
      <c r="C587" s="137" t="s">
        <v>1726</v>
      </c>
      <c r="D587" s="137" t="s">
        <v>1727</v>
      </c>
      <c r="E587" s="137" t="s">
        <v>1728</v>
      </c>
      <c r="F587" s="137" t="s">
        <v>180</v>
      </c>
      <c r="G587" s="138">
        <v>42787.0</v>
      </c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8"/>
      <c r="T587" s="8"/>
      <c r="U587" s="8"/>
      <c r="V587" s="8"/>
      <c r="W587" s="8"/>
      <c r="X587" s="8"/>
      <c r="Y587" s="8"/>
      <c r="Z587" s="8"/>
    </row>
    <row r="588" ht="25.5" customHeight="1">
      <c r="A588" s="139" t="s">
        <v>1729</v>
      </c>
      <c r="B588" s="168" t="s">
        <v>1730</v>
      </c>
      <c r="C588" s="119" t="s">
        <v>195</v>
      </c>
      <c r="D588" s="119" t="s">
        <v>1731</v>
      </c>
      <c r="E588" s="119" t="s">
        <v>1732</v>
      </c>
      <c r="F588" s="119" t="s">
        <v>356</v>
      </c>
      <c r="G588" s="215">
        <v>42576.0</v>
      </c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8"/>
      <c r="T588" s="8"/>
      <c r="U588" s="8"/>
      <c r="V588" s="8"/>
      <c r="W588" s="8"/>
      <c r="X588" s="8"/>
      <c r="Y588" s="8"/>
      <c r="Z588" s="8"/>
    </row>
    <row r="589" ht="42.75" customHeight="1">
      <c r="A589" s="135" t="s">
        <v>1733</v>
      </c>
      <c r="B589" s="166" t="s">
        <v>1734</v>
      </c>
      <c r="C589" s="137" t="s">
        <v>1661</v>
      </c>
      <c r="D589" s="137" t="s">
        <v>1735</v>
      </c>
      <c r="E589" s="137" t="s">
        <v>1736</v>
      </c>
      <c r="F589" s="137" t="s">
        <v>1737</v>
      </c>
      <c r="G589" s="138">
        <v>42571.0</v>
      </c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8"/>
      <c r="T589" s="8"/>
      <c r="U589" s="8"/>
      <c r="V589" s="8"/>
      <c r="W589" s="8"/>
      <c r="X589" s="8"/>
      <c r="Y589" s="8"/>
      <c r="Z589" s="8"/>
    </row>
    <row r="590" ht="51.0" customHeight="1">
      <c r="A590" s="139" t="s">
        <v>1738</v>
      </c>
      <c r="B590" s="168" t="s">
        <v>1739</v>
      </c>
      <c r="C590" s="119" t="s">
        <v>61</v>
      </c>
      <c r="D590" s="119" t="s">
        <v>1740</v>
      </c>
      <c r="E590" s="119" t="s">
        <v>1741</v>
      </c>
      <c r="F590" s="119" t="s">
        <v>1185</v>
      </c>
      <c r="G590" s="215">
        <v>42576.0</v>
      </c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8"/>
      <c r="T590" s="8"/>
      <c r="U590" s="8"/>
      <c r="V590" s="8"/>
      <c r="W590" s="8"/>
      <c r="X590" s="8"/>
      <c r="Y590" s="8"/>
      <c r="Z590" s="8"/>
    </row>
    <row r="591" ht="42.75" customHeight="1">
      <c r="A591" s="135" t="s">
        <v>1742</v>
      </c>
      <c r="B591" s="166" t="s">
        <v>1743</v>
      </c>
      <c r="C591" s="137" t="s">
        <v>311</v>
      </c>
      <c r="D591" s="137" t="s">
        <v>1744</v>
      </c>
      <c r="E591" s="137" t="s">
        <v>1745</v>
      </c>
      <c r="F591" s="137" t="s">
        <v>1185</v>
      </c>
      <c r="G591" s="138">
        <v>42576.0</v>
      </c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8"/>
      <c r="T591" s="8"/>
      <c r="U591" s="8"/>
      <c r="V591" s="8"/>
      <c r="W591" s="8"/>
      <c r="X591" s="8"/>
      <c r="Y591" s="8"/>
      <c r="Z591" s="8"/>
    </row>
    <row r="592" ht="38.25" customHeight="1">
      <c r="A592" s="139" t="s">
        <v>1746</v>
      </c>
      <c r="B592" s="168" t="s">
        <v>1747</v>
      </c>
      <c r="C592" s="119" t="s">
        <v>23</v>
      </c>
      <c r="D592" s="119" t="s">
        <v>1748</v>
      </c>
      <c r="E592" s="119" t="s">
        <v>1749</v>
      </c>
      <c r="F592" s="119" t="s">
        <v>1185</v>
      </c>
      <c r="G592" s="215">
        <v>42576.0</v>
      </c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8"/>
      <c r="T592" s="8"/>
      <c r="U592" s="8"/>
      <c r="V592" s="8"/>
      <c r="W592" s="8"/>
      <c r="X592" s="8"/>
      <c r="Y592" s="8"/>
      <c r="Z592" s="8"/>
    </row>
    <row r="593" ht="51.0" customHeight="1">
      <c r="A593" s="135" t="s">
        <v>1750</v>
      </c>
      <c r="B593" s="166" t="s">
        <v>1751</v>
      </c>
      <c r="C593" s="137" t="s">
        <v>43</v>
      </c>
      <c r="D593" s="137" t="s">
        <v>1752</v>
      </c>
      <c r="E593" s="137" t="s">
        <v>1753</v>
      </c>
      <c r="F593" s="137" t="s">
        <v>620</v>
      </c>
      <c r="G593" s="138">
        <v>42572.0</v>
      </c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8"/>
      <c r="T593" s="8"/>
      <c r="U593" s="8"/>
      <c r="V593" s="8"/>
      <c r="W593" s="8"/>
      <c r="X593" s="8"/>
      <c r="Y593" s="8"/>
      <c r="Z593" s="8"/>
    </row>
    <row r="594" ht="51.0" customHeight="1">
      <c r="A594" s="139" t="s">
        <v>1754</v>
      </c>
      <c r="B594" s="168" t="s">
        <v>1755</v>
      </c>
      <c r="C594" s="119" t="s">
        <v>195</v>
      </c>
      <c r="D594" s="119" t="s">
        <v>1756</v>
      </c>
      <c r="E594" s="119" t="s">
        <v>1757</v>
      </c>
      <c r="F594" s="119" t="s">
        <v>205</v>
      </c>
      <c r="G594" s="215">
        <v>42573.0</v>
      </c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8"/>
      <c r="T594" s="8"/>
      <c r="U594" s="8"/>
      <c r="V594" s="8"/>
      <c r="W594" s="8"/>
      <c r="X594" s="8"/>
      <c r="Y594" s="8"/>
      <c r="Z594" s="8"/>
    </row>
    <row r="595" ht="39.0" customHeight="1">
      <c r="A595" s="203" t="s">
        <v>1758</v>
      </c>
      <c r="B595" s="212" t="s">
        <v>1759</v>
      </c>
      <c r="C595" s="205" t="s">
        <v>137</v>
      </c>
      <c r="D595" s="205" t="s">
        <v>1760</v>
      </c>
      <c r="E595" s="137" t="s">
        <v>1761</v>
      </c>
      <c r="F595" s="205" t="s">
        <v>861</v>
      </c>
      <c r="G595" s="206">
        <v>42576.0</v>
      </c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51.0" customHeight="1">
      <c r="A596" s="216" t="s">
        <v>1762</v>
      </c>
      <c r="B596" s="217" t="s">
        <v>1763</v>
      </c>
      <c r="C596" s="132" t="s">
        <v>1764</v>
      </c>
      <c r="D596" s="132" t="s">
        <v>1765</v>
      </c>
      <c r="E596" s="132" t="s">
        <v>1766</v>
      </c>
      <c r="F596" s="132" t="s">
        <v>232</v>
      </c>
      <c r="G596" s="218">
        <v>2017.0</v>
      </c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51.0" customHeight="1">
      <c r="A597" s="135" t="s">
        <v>3061</v>
      </c>
      <c r="B597" s="166" t="s">
        <v>1767</v>
      </c>
      <c r="C597" s="137" t="s">
        <v>1768</v>
      </c>
      <c r="D597" s="137" t="s">
        <v>1769</v>
      </c>
      <c r="E597" s="137" t="s">
        <v>1770</v>
      </c>
      <c r="F597" s="137" t="s">
        <v>232</v>
      </c>
      <c r="G597" s="182">
        <v>2017.0</v>
      </c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25.5" customHeight="1">
      <c r="A598" s="156" t="s">
        <v>1771</v>
      </c>
      <c r="B598" s="211" t="s">
        <v>1772</v>
      </c>
      <c r="C598" s="119" t="s">
        <v>47</v>
      </c>
      <c r="D598" s="219" t="s">
        <v>1773</v>
      </c>
      <c r="E598" s="219" t="s">
        <v>1774</v>
      </c>
      <c r="F598" s="219" t="s">
        <v>947</v>
      </c>
      <c r="G598" s="220">
        <v>2017.0</v>
      </c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38.25" customHeight="1">
      <c r="A599" s="221" t="s">
        <v>1775</v>
      </c>
      <c r="B599" s="214" t="s">
        <v>1776</v>
      </c>
      <c r="C599" s="136" t="s">
        <v>61</v>
      </c>
      <c r="D599" s="136" t="s">
        <v>1777</v>
      </c>
      <c r="E599" s="137" t="s">
        <v>1778</v>
      </c>
      <c r="F599" s="136" t="s">
        <v>80</v>
      </c>
      <c r="G599" s="222">
        <v>2017.0</v>
      </c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38.25" customHeight="1">
      <c r="A600" s="156" t="s">
        <v>3062</v>
      </c>
      <c r="B600" s="211" t="s">
        <v>1779</v>
      </c>
      <c r="C600" s="119" t="s">
        <v>301</v>
      </c>
      <c r="D600" s="119" t="s">
        <v>1780</v>
      </c>
      <c r="E600" s="119" t="s">
        <v>1781</v>
      </c>
      <c r="F600" s="119" t="s">
        <v>1466</v>
      </c>
      <c r="G600" s="220">
        <v>2017.0</v>
      </c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38.25" customHeight="1">
      <c r="A601" s="221" t="s">
        <v>3063</v>
      </c>
      <c r="B601" s="214" t="s">
        <v>1782</v>
      </c>
      <c r="C601" s="136" t="s">
        <v>13</v>
      </c>
      <c r="D601" s="136" t="s">
        <v>1783</v>
      </c>
      <c r="E601" s="137" t="s">
        <v>1784</v>
      </c>
      <c r="F601" s="136" t="s">
        <v>1466</v>
      </c>
      <c r="G601" s="222">
        <v>2017.0</v>
      </c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38.25" customHeight="1">
      <c r="A602" s="156" t="s">
        <v>3064</v>
      </c>
      <c r="B602" s="211" t="s">
        <v>1785</v>
      </c>
      <c r="C602" s="119" t="s">
        <v>1786</v>
      </c>
      <c r="D602" s="119" t="s">
        <v>1787</v>
      </c>
      <c r="E602" s="119" t="s">
        <v>1788</v>
      </c>
      <c r="F602" s="119" t="s">
        <v>26</v>
      </c>
      <c r="G602" s="220">
        <v>2017.0</v>
      </c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38.25" customHeight="1">
      <c r="A603" s="221" t="s">
        <v>3065</v>
      </c>
      <c r="B603" s="214" t="s">
        <v>1789</v>
      </c>
      <c r="C603" s="136" t="s">
        <v>195</v>
      </c>
      <c r="D603" s="223" t="s">
        <v>1790</v>
      </c>
      <c r="E603" s="137" t="s">
        <v>1791</v>
      </c>
      <c r="F603" s="223" t="s">
        <v>114</v>
      </c>
      <c r="G603" s="222">
        <v>2017.0</v>
      </c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38.25" customHeight="1">
      <c r="A604" s="156" t="s">
        <v>3066</v>
      </c>
      <c r="B604" s="211" t="s">
        <v>1792</v>
      </c>
      <c r="C604" s="119" t="s">
        <v>195</v>
      </c>
      <c r="D604" s="119" t="s">
        <v>1793</v>
      </c>
      <c r="E604" s="119" t="s">
        <v>1794</v>
      </c>
      <c r="F604" s="119" t="s">
        <v>114</v>
      </c>
      <c r="G604" s="220">
        <v>2017.0</v>
      </c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38.25" customHeight="1">
      <c r="A605" s="221" t="s">
        <v>3067</v>
      </c>
      <c r="B605" s="214" t="s">
        <v>1795</v>
      </c>
      <c r="C605" s="136" t="s">
        <v>61</v>
      </c>
      <c r="D605" s="136" t="s">
        <v>1796</v>
      </c>
      <c r="E605" s="137" t="s">
        <v>1797</v>
      </c>
      <c r="F605" s="136" t="s">
        <v>1798</v>
      </c>
      <c r="G605" s="222">
        <v>2017.0</v>
      </c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38.25" customHeight="1">
      <c r="A606" s="156" t="s">
        <v>3068</v>
      </c>
      <c r="B606" s="211" t="s">
        <v>1799</v>
      </c>
      <c r="C606" s="119" t="s">
        <v>1800</v>
      </c>
      <c r="D606" s="119" t="s">
        <v>1801</v>
      </c>
      <c r="E606" s="119" t="s">
        <v>1802</v>
      </c>
      <c r="F606" s="119" t="s">
        <v>180</v>
      </c>
      <c r="G606" s="220">
        <v>2017.0</v>
      </c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51.0" customHeight="1">
      <c r="A607" s="221" t="s">
        <v>3069</v>
      </c>
      <c r="B607" s="214" t="s">
        <v>1803</v>
      </c>
      <c r="C607" s="136" t="s">
        <v>1804</v>
      </c>
      <c r="D607" s="223" t="s">
        <v>1805</v>
      </c>
      <c r="E607" s="137" t="s">
        <v>1806</v>
      </c>
      <c r="F607" s="136" t="s">
        <v>1287</v>
      </c>
      <c r="G607" s="222">
        <v>2017.0</v>
      </c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51.0" customHeight="1">
      <c r="A608" s="156" t="s">
        <v>1807</v>
      </c>
      <c r="B608" s="211" t="s">
        <v>1808</v>
      </c>
      <c r="C608" s="119" t="s">
        <v>61</v>
      </c>
      <c r="D608" s="119" t="s">
        <v>1809</v>
      </c>
      <c r="E608" s="119" t="s">
        <v>1810</v>
      </c>
      <c r="F608" s="119" t="s">
        <v>1798</v>
      </c>
      <c r="G608" s="220">
        <v>2017.0</v>
      </c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51.0" customHeight="1">
      <c r="A609" s="221" t="s">
        <v>1811</v>
      </c>
      <c r="B609" s="214" t="s">
        <v>1812</v>
      </c>
      <c r="C609" s="136" t="s">
        <v>252</v>
      </c>
      <c r="D609" s="223" t="s">
        <v>1813</v>
      </c>
      <c r="E609" s="137" t="s">
        <v>1814</v>
      </c>
      <c r="F609" s="136" t="s">
        <v>1185</v>
      </c>
      <c r="G609" s="222">
        <v>2017.0</v>
      </c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38.25" customHeight="1">
      <c r="A610" s="156" t="s">
        <v>1815</v>
      </c>
      <c r="B610" s="224" t="s">
        <v>1816</v>
      </c>
      <c r="C610" s="119" t="s">
        <v>573</v>
      </c>
      <c r="D610" s="119" t="s">
        <v>1817</v>
      </c>
      <c r="E610" s="119" t="s">
        <v>1818</v>
      </c>
      <c r="F610" s="119" t="s">
        <v>26</v>
      </c>
      <c r="G610" s="220">
        <v>2017.0</v>
      </c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38.25" customHeight="1">
      <c r="A611" s="221" t="s">
        <v>1819</v>
      </c>
      <c r="B611" s="214" t="s">
        <v>1820</v>
      </c>
      <c r="C611" s="136" t="s">
        <v>252</v>
      </c>
      <c r="D611" s="223" t="s">
        <v>1821</v>
      </c>
      <c r="E611" s="137" t="s">
        <v>1822</v>
      </c>
      <c r="F611" s="136" t="s">
        <v>1466</v>
      </c>
      <c r="G611" s="222">
        <v>2017.0</v>
      </c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51.0" customHeight="1">
      <c r="A612" s="156" t="s">
        <v>1823</v>
      </c>
      <c r="B612" s="224" t="s">
        <v>1824</v>
      </c>
      <c r="C612" s="119" t="s">
        <v>1825</v>
      </c>
      <c r="D612" s="119" t="s">
        <v>1826</v>
      </c>
      <c r="E612" s="119" t="s">
        <v>1827</v>
      </c>
      <c r="F612" s="119" t="s">
        <v>114</v>
      </c>
      <c r="G612" s="220">
        <v>2017.0</v>
      </c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38.25" customHeight="1">
      <c r="A613" s="221" t="s">
        <v>1828</v>
      </c>
      <c r="B613" s="214" t="s">
        <v>1829</v>
      </c>
      <c r="C613" s="136" t="s">
        <v>338</v>
      </c>
      <c r="D613" s="223" t="s">
        <v>1830</v>
      </c>
      <c r="E613" s="137" t="s">
        <v>1831</v>
      </c>
      <c r="F613" s="136" t="s">
        <v>1185</v>
      </c>
      <c r="G613" s="222">
        <v>2017.0</v>
      </c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51.0" customHeight="1">
      <c r="A614" s="156" t="s">
        <v>1832</v>
      </c>
      <c r="B614" s="211" t="s">
        <v>1833</v>
      </c>
      <c r="C614" s="119" t="s">
        <v>43</v>
      </c>
      <c r="D614" s="119" t="s">
        <v>1834</v>
      </c>
      <c r="E614" s="119" t="s">
        <v>1835</v>
      </c>
      <c r="F614" s="119" t="s">
        <v>1737</v>
      </c>
      <c r="G614" s="220">
        <v>2017.0</v>
      </c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61.5" customHeight="1">
      <c r="A615" s="221" t="s">
        <v>1836</v>
      </c>
      <c r="B615" s="214" t="s">
        <v>1837</v>
      </c>
      <c r="C615" s="136" t="s">
        <v>1838</v>
      </c>
      <c r="D615" s="223" t="s">
        <v>1839</v>
      </c>
      <c r="E615" s="137" t="s">
        <v>1840</v>
      </c>
      <c r="F615" s="136" t="s">
        <v>180</v>
      </c>
      <c r="G615" s="222">
        <v>2018.0</v>
      </c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51.0" customHeight="1">
      <c r="A616" s="156" t="s">
        <v>1841</v>
      </c>
      <c r="B616" s="211" t="s">
        <v>1842</v>
      </c>
      <c r="C616" s="119" t="s">
        <v>33</v>
      </c>
      <c r="D616" s="119" t="s">
        <v>1843</v>
      </c>
      <c r="E616" s="119" t="s">
        <v>1844</v>
      </c>
      <c r="F616" s="119" t="s">
        <v>1845</v>
      </c>
      <c r="G616" s="220">
        <v>2017.0</v>
      </c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38.25" customHeight="1">
      <c r="A617" s="221" t="s">
        <v>1846</v>
      </c>
      <c r="B617" s="214" t="s">
        <v>1847</v>
      </c>
      <c r="C617" s="136" t="s">
        <v>814</v>
      </c>
      <c r="D617" s="223" t="s">
        <v>1848</v>
      </c>
      <c r="E617" s="137" t="s">
        <v>1849</v>
      </c>
      <c r="F617" s="136" t="s">
        <v>147</v>
      </c>
      <c r="G617" s="222">
        <v>2018.0</v>
      </c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38.25" customHeight="1">
      <c r="A618" s="156" t="s">
        <v>1850</v>
      </c>
      <c r="B618" s="211" t="s">
        <v>1851</v>
      </c>
      <c r="C618" s="119" t="s">
        <v>311</v>
      </c>
      <c r="D618" s="219" t="s">
        <v>1852</v>
      </c>
      <c r="E618" s="219" t="s">
        <v>1853</v>
      </c>
      <c r="F618" s="219" t="s">
        <v>180</v>
      </c>
      <c r="G618" s="220">
        <v>2018.0</v>
      </c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51.0" customHeight="1">
      <c r="A619" s="221" t="s">
        <v>1854</v>
      </c>
      <c r="B619" s="214" t="s">
        <v>1855</v>
      </c>
      <c r="C619" s="136" t="s">
        <v>674</v>
      </c>
      <c r="D619" s="223" t="s">
        <v>1856</v>
      </c>
      <c r="E619" s="137" t="s">
        <v>1857</v>
      </c>
      <c r="F619" s="136" t="s">
        <v>180</v>
      </c>
      <c r="G619" s="222">
        <v>2018.0</v>
      </c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38.25" customHeight="1">
      <c r="A620" s="225" t="s">
        <v>1858</v>
      </c>
      <c r="B620" s="211" t="s">
        <v>1859</v>
      </c>
      <c r="C620" s="119" t="s">
        <v>1860</v>
      </c>
      <c r="D620" s="119" t="s">
        <v>1861</v>
      </c>
      <c r="E620" s="119" t="s">
        <v>1862</v>
      </c>
      <c r="F620" s="119" t="s">
        <v>232</v>
      </c>
      <c r="G620" s="220">
        <v>2018.0</v>
      </c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38.25" customHeight="1">
      <c r="A621" s="221" t="s">
        <v>1863</v>
      </c>
      <c r="B621" s="214" t="s">
        <v>1864</v>
      </c>
      <c r="C621" s="136" t="s">
        <v>1865</v>
      </c>
      <c r="D621" s="223" t="s">
        <v>1866</v>
      </c>
      <c r="E621" s="137" t="s">
        <v>1867</v>
      </c>
      <c r="F621" s="136" t="s">
        <v>685</v>
      </c>
      <c r="G621" s="222">
        <v>2017.0</v>
      </c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38.25" customHeight="1">
      <c r="A622" s="156" t="s">
        <v>1868</v>
      </c>
      <c r="B622" s="224" t="s">
        <v>1869</v>
      </c>
      <c r="C622" s="119" t="s">
        <v>1870</v>
      </c>
      <c r="D622" s="219" t="s">
        <v>1871</v>
      </c>
      <c r="E622" s="219" t="s">
        <v>1872</v>
      </c>
      <c r="F622" s="219" t="s">
        <v>620</v>
      </c>
      <c r="G622" s="220">
        <v>2018.0</v>
      </c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38.25" customHeight="1">
      <c r="A623" s="221" t="s">
        <v>1873</v>
      </c>
      <c r="B623" s="214" t="s">
        <v>1874</v>
      </c>
      <c r="C623" s="136" t="s">
        <v>1875</v>
      </c>
      <c r="D623" s="223" t="s">
        <v>1876</v>
      </c>
      <c r="E623" s="137" t="s">
        <v>1877</v>
      </c>
      <c r="F623" s="136" t="s">
        <v>1878</v>
      </c>
      <c r="G623" s="222">
        <v>2017.0</v>
      </c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38.25" customHeight="1">
      <c r="A624" s="156" t="s">
        <v>1879</v>
      </c>
      <c r="B624" s="226" t="s">
        <v>1880</v>
      </c>
      <c r="C624" s="119" t="s">
        <v>1881</v>
      </c>
      <c r="D624" s="119" t="s">
        <v>1882</v>
      </c>
      <c r="E624" s="119" t="s">
        <v>1883</v>
      </c>
      <c r="F624" s="119" t="s">
        <v>620</v>
      </c>
      <c r="G624" s="220">
        <v>2017.0</v>
      </c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51.0" customHeight="1">
      <c r="A625" s="221" t="s">
        <v>1884</v>
      </c>
      <c r="B625" s="214" t="s">
        <v>1885</v>
      </c>
      <c r="C625" s="136" t="s">
        <v>1886</v>
      </c>
      <c r="D625" s="223" t="s">
        <v>1887</v>
      </c>
      <c r="E625" s="137" t="s">
        <v>1888</v>
      </c>
      <c r="F625" s="136" t="s">
        <v>1287</v>
      </c>
      <c r="G625" s="222">
        <v>2018.0</v>
      </c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51.0" customHeight="1">
      <c r="A626" s="156" t="s">
        <v>1889</v>
      </c>
      <c r="B626" s="211" t="s">
        <v>1890</v>
      </c>
      <c r="C626" s="119" t="s">
        <v>1891</v>
      </c>
      <c r="D626" s="119" t="s">
        <v>1892</v>
      </c>
      <c r="E626" s="119" t="s">
        <v>1893</v>
      </c>
      <c r="F626" s="119" t="s">
        <v>180</v>
      </c>
      <c r="G626" s="220">
        <v>2018.0</v>
      </c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38.25" customHeight="1">
      <c r="A627" s="221" t="s">
        <v>1894</v>
      </c>
      <c r="B627" s="214" t="s">
        <v>1895</v>
      </c>
      <c r="C627" s="136" t="s">
        <v>13</v>
      </c>
      <c r="D627" s="223" t="s">
        <v>1896</v>
      </c>
      <c r="E627" s="137" t="s">
        <v>1897</v>
      </c>
      <c r="F627" s="136" t="s">
        <v>1898</v>
      </c>
      <c r="G627" s="222">
        <v>2017.0</v>
      </c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51.0" customHeight="1">
      <c r="A628" s="156" t="s">
        <v>1899</v>
      </c>
      <c r="B628" s="224" t="s">
        <v>1900</v>
      </c>
      <c r="C628" s="119" t="s">
        <v>1901</v>
      </c>
      <c r="D628" s="119" t="s">
        <v>1902</v>
      </c>
      <c r="E628" s="119" t="s">
        <v>1903</v>
      </c>
      <c r="F628" s="119" t="s">
        <v>1898</v>
      </c>
      <c r="G628" s="220">
        <v>2017.0</v>
      </c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51.0" customHeight="1">
      <c r="A629" s="221" t="s">
        <v>1904</v>
      </c>
      <c r="B629" s="214" t="s">
        <v>1905</v>
      </c>
      <c r="C629" s="136" t="s">
        <v>674</v>
      </c>
      <c r="D629" s="223" t="s">
        <v>1906</v>
      </c>
      <c r="E629" s="137" t="s">
        <v>1907</v>
      </c>
      <c r="F629" s="136" t="s">
        <v>41</v>
      </c>
      <c r="G629" s="222">
        <v>2018.0</v>
      </c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38.25" customHeight="1">
      <c r="A630" s="156" t="s">
        <v>1908</v>
      </c>
      <c r="B630" s="224" t="s">
        <v>1909</v>
      </c>
      <c r="C630" s="119" t="s">
        <v>61</v>
      </c>
      <c r="D630" s="219" t="s">
        <v>1910</v>
      </c>
      <c r="E630" s="219" t="s">
        <v>1911</v>
      </c>
      <c r="F630" s="219" t="s">
        <v>1912</v>
      </c>
      <c r="G630" s="220">
        <v>2018.0</v>
      </c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38.25" customHeight="1">
      <c r="A631" s="221" t="s">
        <v>1913</v>
      </c>
      <c r="B631" s="227" t="s">
        <v>1914</v>
      </c>
      <c r="C631" s="136" t="s">
        <v>43</v>
      </c>
      <c r="D631" s="223" t="s">
        <v>1915</v>
      </c>
      <c r="E631" s="137" t="s">
        <v>1916</v>
      </c>
      <c r="F631" s="223" t="s">
        <v>335</v>
      </c>
      <c r="G631" s="222">
        <v>2018.0</v>
      </c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76.5" customHeight="1">
      <c r="A632" s="156" t="s">
        <v>1917</v>
      </c>
      <c r="B632" s="224" t="s">
        <v>1918</v>
      </c>
      <c r="C632" s="119" t="s">
        <v>1919</v>
      </c>
      <c r="D632" s="119" t="s">
        <v>1920</v>
      </c>
      <c r="E632" s="119" t="s">
        <v>1921</v>
      </c>
      <c r="F632" s="119" t="s">
        <v>184</v>
      </c>
      <c r="G632" s="220">
        <v>2017.0</v>
      </c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51.0" customHeight="1">
      <c r="A633" s="221" t="s">
        <v>1922</v>
      </c>
      <c r="B633" s="227" t="s">
        <v>1923</v>
      </c>
      <c r="C633" s="136" t="s">
        <v>1764</v>
      </c>
      <c r="D633" s="223" t="s">
        <v>1924</v>
      </c>
      <c r="E633" s="137" t="s">
        <v>1925</v>
      </c>
      <c r="F633" s="223" t="s">
        <v>620</v>
      </c>
      <c r="G633" s="222">
        <v>2018.0</v>
      </c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51.0" customHeight="1">
      <c r="A634" s="156" t="s">
        <v>1926</v>
      </c>
      <c r="B634" s="224" t="s">
        <v>1927</v>
      </c>
      <c r="C634" s="119" t="s">
        <v>23</v>
      </c>
      <c r="D634" s="119" t="s">
        <v>1928</v>
      </c>
      <c r="E634" s="119" t="s">
        <v>1929</v>
      </c>
      <c r="F634" s="119" t="s">
        <v>184</v>
      </c>
      <c r="G634" s="220">
        <v>2018.0</v>
      </c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38.25" customHeight="1">
      <c r="A635" s="221" t="s">
        <v>1930</v>
      </c>
      <c r="B635" s="227" t="s">
        <v>1931</v>
      </c>
      <c r="C635" s="136" t="s">
        <v>1631</v>
      </c>
      <c r="D635" s="223" t="s">
        <v>1932</v>
      </c>
      <c r="E635" s="137" t="s">
        <v>1933</v>
      </c>
      <c r="F635" s="223" t="s">
        <v>184</v>
      </c>
      <c r="G635" s="222">
        <v>2018.0</v>
      </c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51.0" customHeight="1">
      <c r="A636" s="156" t="s">
        <v>1934</v>
      </c>
      <c r="B636" s="224" t="s">
        <v>1935</v>
      </c>
      <c r="C636" s="119" t="s">
        <v>1661</v>
      </c>
      <c r="D636" s="119" t="s">
        <v>1936</v>
      </c>
      <c r="E636" s="119" t="s">
        <v>1937</v>
      </c>
      <c r="F636" s="119" t="s">
        <v>1938</v>
      </c>
      <c r="G636" s="220">
        <v>2018.0</v>
      </c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39.0" customHeight="1">
      <c r="A637" s="221" t="s">
        <v>1939</v>
      </c>
      <c r="B637" s="227" t="s">
        <v>1940</v>
      </c>
      <c r="C637" s="136" t="s">
        <v>1800</v>
      </c>
      <c r="D637" s="223" t="s">
        <v>1941</v>
      </c>
      <c r="E637" s="137" t="s">
        <v>1942</v>
      </c>
      <c r="F637" s="223" t="s">
        <v>180</v>
      </c>
      <c r="G637" s="222">
        <v>2018.0</v>
      </c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38.25" customHeight="1">
      <c r="A638" s="156" t="s">
        <v>1943</v>
      </c>
      <c r="B638" s="224" t="s">
        <v>1944</v>
      </c>
      <c r="C638" s="119" t="s">
        <v>195</v>
      </c>
      <c r="D638" s="119" t="s">
        <v>1945</v>
      </c>
      <c r="E638" s="119" t="s">
        <v>1946</v>
      </c>
      <c r="F638" s="119" t="s">
        <v>1947</v>
      </c>
      <c r="G638" s="220">
        <v>2017.0</v>
      </c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51.0" customHeight="1">
      <c r="A639" s="221" t="s">
        <v>1948</v>
      </c>
      <c r="B639" s="227" t="s">
        <v>1949</v>
      </c>
      <c r="C639" s="136" t="s">
        <v>1950</v>
      </c>
      <c r="D639" s="223" t="s">
        <v>1951</v>
      </c>
      <c r="E639" s="137" t="s">
        <v>1952</v>
      </c>
      <c r="F639" s="223" t="s">
        <v>335</v>
      </c>
      <c r="G639" s="222">
        <v>2018.0</v>
      </c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63.75" customHeight="1">
      <c r="A640" s="156" t="s">
        <v>1953</v>
      </c>
      <c r="B640" s="211" t="s">
        <v>1954</v>
      </c>
      <c r="C640" s="119" t="s">
        <v>61</v>
      </c>
      <c r="D640" s="119" t="s">
        <v>1955</v>
      </c>
      <c r="E640" s="119" t="s">
        <v>1956</v>
      </c>
      <c r="F640" s="119" t="s">
        <v>1957</v>
      </c>
      <c r="G640" s="220">
        <v>2018.0</v>
      </c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38.25" customHeight="1">
      <c r="A641" s="221" t="s">
        <v>1958</v>
      </c>
      <c r="B641" s="227" t="s">
        <v>1959</v>
      </c>
      <c r="C641" s="136" t="s">
        <v>111</v>
      </c>
      <c r="D641" s="223" t="s">
        <v>1960</v>
      </c>
      <c r="E641" s="137" t="s">
        <v>1961</v>
      </c>
      <c r="F641" s="223" t="s">
        <v>1938</v>
      </c>
      <c r="G641" s="222">
        <v>2018.0</v>
      </c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51.0" customHeight="1">
      <c r="A642" s="156" t="s">
        <v>1962</v>
      </c>
      <c r="B642" s="224" t="s">
        <v>1963</v>
      </c>
      <c r="C642" s="119" t="s">
        <v>96</v>
      </c>
      <c r="D642" s="119" t="s">
        <v>1964</v>
      </c>
      <c r="E642" s="119" t="s">
        <v>1965</v>
      </c>
      <c r="F642" s="119" t="s">
        <v>184</v>
      </c>
      <c r="G642" s="220">
        <v>2018.0</v>
      </c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51.0" customHeight="1">
      <c r="A643" s="221" t="s">
        <v>1966</v>
      </c>
      <c r="B643" s="227" t="s">
        <v>1967</v>
      </c>
      <c r="C643" s="136" t="s">
        <v>1950</v>
      </c>
      <c r="D643" s="223" t="s">
        <v>1968</v>
      </c>
      <c r="E643" s="137" t="s">
        <v>1969</v>
      </c>
      <c r="F643" s="223" t="s">
        <v>1970</v>
      </c>
      <c r="G643" s="222">
        <v>2018.0</v>
      </c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51.0" customHeight="1">
      <c r="A644" s="156" t="s">
        <v>1971</v>
      </c>
      <c r="B644" s="224" t="s">
        <v>1972</v>
      </c>
      <c r="C644" s="119" t="s">
        <v>1973</v>
      </c>
      <c r="D644" s="119" t="s">
        <v>1974</v>
      </c>
      <c r="E644" s="119" t="s">
        <v>1975</v>
      </c>
      <c r="F644" s="119" t="s">
        <v>1466</v>
      </c>
      <c r="G644" s="220">
        <v>2017.0</v>
      </c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39.0" customHeight="1">
      <c r="A645" s="221" t="s">
        <v>1976</v>
      </c>
      <c r="B645" s="227" t="s">
        <v>1977</v>
      </c>
      <c r="C645" s="136" t="s">
        <v>338</v>
      </c>
      <c r="D645" s="223" t="s">
        <v>1978</v>
      </c>
      <c r="E645" s="137" t="s">
        <v>1979</v>
      </c>
      <c r="F645" s="223" t="s">
        <v>335</v>
      </c>
      <c r="G645" s="222">
        <v>2018.0</v>
      </c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39.0" customHeight="1">
      <c r="A646" s="228" t="s">
        <v>1980</v>
      </c>
      <c r="B646" s="229" t="s">
        <v>1981</v>
      </c>
      <c r="C646" s="200" t="s">
        <v>1982</v>
      </c>
      <c r="D646" s="200" t="s">
        <v>1983</v>
      </c>
      <c r="E646" s="200" t="s">
        <v>1984</v>
      </c>
      <c r="F646" s="200" t="s">
        <v>620</v>
      </c>
      <c r="G646" s="230">
        <v>2017.0</v>
      </c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28.5" customHeight="1">
      <c r="A647" s="221" t="s">
        <v>1985</v>
      </c>
      <c r="B647" s="227" t="s">
        <v>1986</v>
      </c>
      <c r="C647" s="136" t="s">
        <v>1825</v>
      </c>
      <c r="D647" s="223" t="s">
        <v>1987</v>
      </c>
      <c r="E647" s="137" t="s">
        <v>1988</v>
      </c>
      <c r="F647" s="223" t="s">
        <v>685</v>
      </c>
      <c r="G647" s="222">
        <v>2018.0</v>
      </c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39.0" customHeight="1">
      <c r="A648" s="156" t="s">
        <v>1989</v>
      </c>
      <c r="B648" s="219" t="s">
        <v>1990</v>
      </c>
      <c r="C648" s="200" t="s">
        <v>1982</v>
      </c>
      <c r="D648" s="219" t="s">
        <v>1991</v>
      </c>
      <c r="E648" s="219" t="s">
        <v>1992</v>
      </c>
      <c r="F648" s="219" t="s">
        <v>16</v>
      </c>
      <c r="G648" s="220">
        <v>2018.0</v>
      </c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51.0" customHeight="1">
      <c r="A649" s="221" t="s">
        <v>1993</v>
      </c>
      <c r="B649" s="227" t="s">
        <v>1994</v>
      </c>
      <c r="C649" s="136" t="s">
        <v>301</v>
      </c>
      <c r="D649" s="223" t="s">
        <v>1995</v>
      </c>
      <c r="E649" s="137" t="s">
        <v>1996</v>
      </c>
      <c r="F649" s="223" t="s">
        <v>180</v>
      </c>
      <c r="G649" s="220">
        <v>2018.0</v>
      </c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38.25" customHeight="1">
      <c r="A650" s="139" t="s">
        <v>1997</v>
      </c>
      <c r="B650" s="219" t="s">
        <v>1998</v>
      </c>
      <c r="C650" s="119" t="s">
        <v>573</v>
      </c>
      <c r="D650" s="219" t="s">
        <v>1999</v>
      </c>
      <c r="E650" s="219" t="s">
        <v>2000</v>
      </c>
      <c r="F650" s="219" t="s">
        <v>2001</v>
      </c>
      <c r="G650" s="220">
        <v>2018.0</v>
      </c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38.25" customHeight="1">
      <c r="A651" s="221" t="s">
        <v>2002</v>
      </c>
      <c r="B651" s="227" t="s">
        <v>2003</v>
      </c>
      <c r="C651" s="136" t="s">
        <v>573</v>
      </c>
      <c r="D651" s="223" t="s">
        <v>2004</v>
      </c>
      <c r="E651" s="137" t="s">
        <v>2005</v>
      </c>
      <c r="F651" s="223" t="s">
        <v>184</v>
      </c>
      <c r="G651" s="222">
        <v>2018.0</v>
      </c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38.25" customHeight="1">
      <c r="A652" s="139" t="s">
        <v>2006</v>
      </c>
      <c r="B652" s="219" t="s">
        <v>2007</v>
      </c>
      <c r="C652" s="119" t="s">
        <v>111</v>
      </c>
      <c r="D652" s="219" t="s">
        <v>2008</v>
      </c>
      <c r="E652" s="219" t="s">
        <v>2009</v>
      </c>
      <c r="F652" s="219" t="s">
        <v>184</v>
      </c>
      <c r="G652" s="220">
        <v>2018.0</v>
      </c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38.25" customHeight="1">
      <c r="A653" s="221" t="s">
        <v>2010</v>
      </c>
      <c r="B653" s="227" t="s">
        <v>2011</v>
      </c>
      <c r="C653" s="136" t="s">
        <v>1764</v>
      </c>
      <c r="D653" s="223" t="s">
        <v>2012</v>
      </c>
      <c r="E653" s="137" t="s">
        <v>2013</v>
      </c>
      <c r="F653" s="223" t="s">
        <v>685</v>
      </c>
      <c r="G653" s="222">
        <v>2018.0</v>
      </c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51.0" customHeight="1">
      <c r="A654" s="139" t="s">
        <v>2014</v>
      </c>
      <c r="B654" s="231" t="s">
        <v>2015</v>
      </c>
      <c r="C654" s="119" t="s">
        <v>347</v>
      </c>
      <c r="D654" s="219" t="s">
        <v>2016</v>
      </c>
      <c r="E654" s="219" t="s">
        <v>2017</v>
      </c>
      <c r="F654" s="219" t="s">
        <v>180</v>
      </c>
      <c r="G654" s="220">
        <v>2018.0</v>
      </c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38.25" customHeight="1">
      <c r="A655" s="221" t="s">
        <v>2018</v>
      </c>
      <c r="B655" s="227" t="s">
        <v>2019</v>
      </c>
      <c r="C655" s="136" t="s">
        <v>2020</v>
      </c>
      <c r="D655" s="223" t="s">
        <v>2021</v>
      </c>
      <c r="E655" s="137" t="s">
        <v>2022</v>
      </c>
      <c r="F655" s="223" t="s">
        <v>114</v>
      </c>
      <c r="G655" s="222">
        <v>2018.0</v>
      </c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38.25" customHeight="1">
      <c r="A656" s="139" t="s">
        <v>2023</v>
      </c>
      <c r="B656" s="219" t="s">
        <v>2024</v>
      </c>
      <c r="C656" s="119" t="s">
        <v>2025</v>
      </c>
      <c r="D656" s="219" t="s">
        <v>2026</v>
      </c>
      <c r="E656" s="219" t="s">
        <v>2027</v>
      </c>
      <c r="F656" s="219" t="s">
        <v>1737</v>
      </c>
      <c r="G656" s="220">
        <v>2018.0</v>
      </c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38.25" customHeight="1">
      <c r="A657" s="221" t="s">
        <v>2028</v>
      </c>
      <c r="B657" s="227" t="s">
        <v>2029</v>
      </c>
      <c r="C657" s="136" t="s">
        <v>2030</v>
      </c>
      <c r="D657" s="223" t="s">
        <v>2031</v>
      </c>
      <c r="E657" s="137" t="s">
        <v>2032</v>
      </c>
      <c r="F657" s="223" t="s">
        <v>105</v>
      </c>
      <c r="G657" s="222">
        <v>2018.0</v>
      </c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25.5" customHeight="1">
      <c r="A658" s="139" t="s">
        <v>2033</v>
      </c>
      <c r="B658" s="231" t="s">
        <v>2034</v>
      </c>
      <c r="C658" s="119" t="s">
        <v>814</v>
      </c>
      <c r="D658" s="219" t="s">
        <v>2035</v>
      </c>
      <c r="E658" s="219" t="s">
        <v>2036</v>
      </c>
      <c r="F658" s="219" t="s">
        <v>779</v>
      </c>
      <c r="G658" s="220">
        <v>2018.0</v>
      </c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63.75" customHeight="1">
      <c r="A659" s="221" t="s">
        <v>2037</v>
      </c>
      <c r="B659" s="227" t="s">
        <v>2038</v>
      </c>
      <c r="C659" s="136" t="s">
        <v>410</v>
      </c>
      <c r="D659" s="223" t="s">
        <v>2039</v>
      </c>
      <c r="E659" s="137" t="s">
        <v>2040</v>
      </c>
      <c r="F659" s="223" t="s">
        <v>1466</v>
      </c>
      <c r="G659" s="222">
        <v>2018.0</v>
      </c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63.75" customHeight="1">
      <c r="A660" s="156" t="s">
        <v>2041</v>
      </c>
      <c r="B660" s="231" t="s">
        <v>2042</v>
      </c>
      <c r="C660" s="118" t="s">
        <v>2043</v>
      </c>
      <c r="D660" s="219" t="s">
        <v>2044</v>
      </c>
      <c r="E660" s="219" t="s">
        <v>2045</v>
      </c>
      <c r="F660" s="232" t="s">
        <v>88</v>
      </c>
      <c r="G660" s="220">
        <v>2018.0</v>
      </c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8"/>
      <c r="T660" s="8"/>
      <c r="U660" s="8"/>
      <c r="V660" s="8"/>
      <c r="W660" s="8"/>
      <c r="X660" s="8"/>
      <c r="Y660" s="8"/>
      <c r="Z660" s="8"/>
    </row>
    <row r="661" ht="51.0" customHeight="1">
      <c r="A661" s="221" t="s">
        <v>2046</v>
      </c>
      <c r="B661" s="227" t="s">
        <v>2047</v>
      </c>
      <c r="C661" s="136" t="s">
        <v>1919</v>
      </c>
      <c r="D661" s="223" t="s">
        <v>2048</v>
      </c>
      <c r="E661" s="137" t="s">
        <v>2049</v>
      </c>
      <c r="F661" s="223" t="s">
        <v>1466</v>
      </c>
      <c r="G661" s="222">
        <v>2018.0</v>
      </c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51.0" customHeight="1">
      <c r="A662" s="156" t="s">
        <v>2050</v>
      </c>
      <c r="B662" s="231" t="s">
        <v>2051</v>
      </c>
      <c r="C662" s="118" t="s">
        <v>674</v>
      </c>
      <c r="D662" s="232" t="s">
        <v>2052</v>
      </c>
      <c r="E662" s="219" t="s">
        <v>2053</v>
      </c>
      <c r="F662" s="232" t="s">
        <v>88</v>
      </c>
      <c r="G662" s="220">
        <v>2018.0</v>
      </c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8"/>
      <c r="T662" s="8"/>
      <c r="U662" s="8"/>
      <c r="V662" s="8"/>
      <c r="W662" s="8"/>
      <c r="X662" s="8"/>
      <c r="Y662" s="8"/>
      <c r="Z662" s="8"/>
    </row>
    <row r="663" ht="38.25" customHeight="1">
      <c r="A663" s="221" t="s">
        <v>2054</v>
      </c>
      <c r="B663" s="227" t="s">
        <v>2055</v>
      </c>
      <c r="C663" s="136" t="s">
        <v>2056</v>
      </c>
      <c r="D663" s="223" t="s">
        <v>2057</v>
      </c>
      <c r="E663" s="137" t="s">
        <v>2058</v>
      </c>
      <c r="F663" s="223" t="s">
        <v>576</v>
      </c>
      <c r="G663" s="222">
        <v>2018.0</v>
      </c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38.25" customHeight="1">
      <c r="A664" s="156" t="s">
        <v>2059</v>
      </c>
      <c r="B664" s="219" t="s">
        <v>2060</v>
      </c>
      <c r="C664" s="118" t="s">
        <v>43</v>
      </c>
      <c r="D664" s="232" t="s">
        <v>2061</v>
      </c>
      <c r="E664" s="219" t="s">
        <v>2062</v>
      </c>
      <c r="F664" s="232" t="s">
        <v>335</v>
      </c>
      <c r="G664" s="220">
        <v>2018.0</v>
      </c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8"/>
      <c r="T664" s="8"/>
      <c r="U664" s="8"/>
      <c r="V664" s="8"/>
      <c r="W664" s="8"/>
      <c r="X664" s="8"/>
      <c r="Y664" s="8"/>
      <c r="Z664" s="8"/>
    </row>
    <row r="665" ht="51.0" customHeight="1">
      <c r="A665" s="221" t="s">
        <v>2063</v>
      </c>
      <c r="B665" s="227" t="s">
        <v>2064</v>
      </c>
      <c r="C665" s="136" t="s">
        <v>252</v>
      </c>
      <c r="D665" s="223" t="s">
        <v>2065</v>
      </c>
      <c r="E665" s="137" t="s">
        <v>2066</v>
      </c>
      <c r="F665" s="223" t="s">
        <v>947</v>
      </c>
      <c r="G665" s="222">
        <v>2018.0</v>
      </c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51.0" customHeight="1">
      <c r="A666" s="156" t="s">
        <v>2067</v>
      </c>
      <c r="B666" s="231" t="s">
        <v>2068</v>
      </c>
      <c r="C666" s="118" t="s">
        <v>23</v>
      </c>
      <c r="D666" s="232" t="s">
        <v>2069</v>
      </c>
      <c r="E666" s="219" t="s">
        <v>2070</v>
      </c>
      <c r="F666" s="232" t="s">
        <v>1287</v>
      </c>
      <c r="G666" s="220">
        <v>2018.0</v>
      </c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8"/>
      <c r="T666" s="8"/>
      <c r="U666" s="8"/>
      <c r="V666" s="8"/>
      <c r="W666" s="8"/>
      <c r="X666" s="8"/>
      <c r="Y666" s="8"/>
      <c r="Z666" s="8"/>
    </row>
    <row r="667" ht="38.25" customHeight="1">
      <c r="A667" s="221" t="s">
        <v>2071</v>
      </c>
      <c r="B667" s="227" t="s">
        <v>2072</v>
      </c>
      <c r="C667" s="136" t="s">
        <v>2073</v>
      </c>
      <c r="D667" s="223" t="s">
        <v>2074</v>
      </c>
      <c r="E667" s="137" t="s">
        <v>2075</v>
      </c>
      <c r="F667" s="223" t="s">
        <v>184</v>
      </c>
      <c r="G667" s="222">
        <v>2018.0</v>
      </c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38.25" customHeight="1">
      <c r="A668" s="156" t="s">
        <v>2076</v>
      </c>
      <c r="B668" s="231" t="s">
        <v>2077</v>
      </c>
      <c r="C668" s="118" t="s">
        <v>2078</v>
      </c>
      <c r="D668" s="232" t="s">
        <v>2079</v>
      </c>
      <c r="E668" s="219" t="s">
        <v>2080</v>
      </c>
      <c r="F668" s="232" t="s">
        <v>1287</v>
      </c>
      <c r="G668" s="220">
        <v>2018.0</v>
      </c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8"/>
      <c r="T668" s="8"/>
      <c r="U668" s="8"/>
      <c r="V668" s="8"/>
      <c r="W668" s="8"/>
      <c r="X668" s="8"/>
      <c r="Y668" s="8"/>
      <c r="Z668" s="8"/>
    </row>
    <row r="669" ht="38.25" customHeight="1">
      <c r="A669" s="221" t="s">
        <v>2081</v>
      </c>
      <c r="B669" s="227" t="s">
        <v>2082</v>
      </c>
      <c r="C669" s="136" t="s">
        <v>2083</v>
      </c>
      <c r="D669" s="223" t="s">
        <v>2084</v>
      </c>
      <c r="E669" s="137" t="s">
        <v>2085</v>
      </c>
      <c r="F669" s="223" t="s">
        <v>1287</v>
      </c>
      <c r="G669" s="222">
        <v>2018.0</v>
      </c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25.5" customHeight="1">
      <c r="A670" s="156" t="s">
        <v>2086</v>
      </c>
      <c r="B670" s="231" t="s">
        <v>2087</v>
      </c>
      <c r="C670" s="118" t="s">
        <v>2088</v>
      </c>
      <c r="D670" s="232" t="s">
        <v>2089</v>
      </c>
      <c r="E670" s="219" t="s">
        <v>2090</v>
      </c>
      <c r="F670" s="232" t="s">
        <v>180</v>
      </c>
      <c r="G670" s="220">
        <v>2018.0</v>
      </c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8"/>
      <c r="T670" s="8"/>
      <c r="U670" s="8"/>
      <c r="V670" s="8"/>
      <c r="W670" s="8"/>
      <c r="X670" s="8"/>
      <c r="Y670" s="8"/>
      <c r="Z670" s="8"/>
    </row>
    <row r="671" ht="38.25" customHeight="1">
      <c r="A671" s="221" t="s">
        <v>2091</v>
      </c>
      <c r="B671" s="227" t="s">
        <v>2092</v>
      </c>
      <c r="C671" s="136" t="s">
        <v>111</v>
      </c>
      <c r="D671" s="223" t="s">
        <v>2093</v>
      </c>
      <c r="E671" s="137" t="s">
        <v>2094</v>
      </c>
      <c r="F671" s="223" t="s">
        <v>88</v>
      </c>
      <c r="G671" s="222">
        <v>2018.0</v>
      </c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38.25" customHeight="1">
      <c r="A672" s="156" t="s">
        <v>2095</v>
      </c>
      <c r="B672" s="231" t="s">
        <v>2096</v>
      </c>
      <c r="C672" s="118" t="s">
        <v>252</v>
      </c>
      <c r="D672" s="232" t="s">
        <v>2097</v>
      </c>
      <c r="E672" s="219" t="s">
        <v>2098</v>
      </c>
      <c r="F672" s="232" t="s">
        <v>685</v>
      </c>
      <c r="G672" s="220">
        <v>2018.0</v>
      </c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8"/>
      <c r="T672" s="8"/>
      <c r="U672" s="8"/>
      <c r="V672" s="8"/>
      <c r="W672" s="8"/>
      <c r="X672" s="8"/>
      <c r="Y672" s="8"/>
      <c r="Z672" s="8"/>
    </row>
    <row r="673" ht="51.0" customHeight="1">
      <c r="A673" s="221" t="s">
        <v>2099</v>
      </c>
      <c r="B673" s="227" t="s">
        <v>2100</v>
      </c>
      <c r="C673" s="136" t="s">
        <v>2101</v>
      </c>
      <c r="D673" s="223" t="s">
        <v>2102</v>
      </c>
      <c r="E673" s="137" t="s">
        <v>2103</v>
      </c>
      <c r="F673" s="223" t="s">
        <v>1466</v>
      </c>
      <c r="G673" s="222">
        <v>2018.0</v>
      </c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51.0" customHeight="1">
      <c r="A674" s="156" t="s">
        <v>2104</v>
      </c>
      <c r="B674" s="219" t="s">
        <v>2105</v>
      </c>
      <c r="C674" s="118" t="s">
        <v>338</v>
      </c>
      <c r="D674" s="232" t="s">
        <v>2106</v>
      </c>
      <c r="E674" s="219" t="s">
        <v>2107</v>
      </c>
      <c r="F674" s="232" t="s">
        <v>1287</v>
      </c>
      <c r="G674" s="220">
        <v>2018.0</v>
      </c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8"/>
      <c r="T674" s="8"/>
      <c r="U674" s="8"/>
      <c r="V674" s="8"/>
      <c r="W674" s="8"/>
      <c r="X674" s="8"/>
      <c r="Y674" s="8"/>
      <c r="Z674" s="8"/>
    </row>
    <row r="675" ht="38.25" customHeight="1">
      <c r="A675" s="221" t="s">
        <v>2108</v>
      </c>
      <c r="B675" s="227" t="s">
        <v>2109</v>
      </c>
      <c r="C675" s="136" t="s">
        <v>573</v>
      </c>
      <c r="D675" s="223" t="s">
        <v>2110</v>
      </c>
      <c r="E675" s="137" t="s">
        <v>2111</v>
      </c>
      <c r="F675" s="223" t="s">
        <v>184</v>
      </c>
      <c r="G675" s="222">
        <v>2018.0</v>
      </c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38.25" customHeight="1">
      <c r="A676" s="156" t="s">
        <v>2112</v>
      </c>
      <c r="B676" s="219" t="s">
        <v>2113</v>
      </c>
      <c r="C676" s="119" t="s">
        <v>2114</v>
      </c>
      <c r="D676" s="232" t="s">
        <v>2115</v>
      </c>
      <c r="E676" s="219" t="s">
        <v>2116</v>
      </c>
      <c r="F676" s="232" t="s">
        <v>1466</v>
      </c>
      <c r="G676" s="220">
        <v>2018.0</v>
      </c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8"/>
      <c r="T676" s="8"/>
      <c r="U676" s="8"/>
      <c r="V676" s="8"/>
      <c r="W676" s="8"/>
      <c r="X676" s="8"/>
      <c r="Y676" s="8"/>
      <c r="Z676" s="8"/>
    </row>
    <row r="677" ht="38.25" customHeight="1">
      <c r="A677" s="221" t="s">
        <v>2117</v>
      </c>
      <c r="B677" s="227" t="s">
        <v>2118</v>
      </c>
      <c r="C677" s="136" t="s">
        <v>1800</v>
      </c>
      <c r="D677" s="223" t="s">
        <v>2119</v>
      </c>
      <c r="E677" s="137" t="s">
        <v>2120</v>
      </c>
      <c r="F677" s="223" t="s">
        <v>180</v>
      </c>
      <c r="G677" s="222">
        <v>2018.0</v>
      </c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51.75" customHeight="1">
      <c r="A678" s="228" t="s">
        <v>2121</v>
      </c>
      <c r="B678" s="233" t="s">
        <v>2122</v>
      </c>
      <c r="C678" s="200" t="s">
        <v>2123</v>
      </c>
      <c r="D678" s="229" t="s">
        <v>2124</v>
      </c>
      <c r="E678" s="229" t="s">
        <v>2125</v>
      </c>
      <c r="F678" s="229" t="s">
        <v>473</v>
      </c>
      <c r="G678" s="230">
        <v>2018.0</v>
      </c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2.75" customHeight="1">
      <c r="A679" s="118"/>
      <c r="B679" s="219"/>
      <c r="C679" s="118"/>
      <c r="D679" s="232"/>
      <c r="E679" s="219"/>
      <c r="F679" s="232"/>
      <c r="G679" s="234"/>
      <c r="H679" s="8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8"/>
      <c r="T679" s="8"/>
      <c r="U679" s="8"/>
      <c r="V679" s="8"/>
      <c r="W679" s="8"/>
      <c r="X679" s="8"/>
      <c r="Y679" s="8"/>
      <c r="Z679" s="8"/>
    </row>
    <row r="680" ht="12.75" customHeight="1">
      <c r="A680" s="118"/>
      <c r="B680" s="219"/>
      <c r="C680" s="118"/>
      <c r="D680" s="232"/>
      <c r="E680" s="219"/>
      <c r="F680" s="232"/>
      <c r="G680" s="234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8"/>
      <c r="T680" s="8"/>
      <c r="U680" s="8"/>
      <c r="V680" s="8"/>
      <c r="W680" s="8"/>
      <c r="X680" s="8"/>
      <c r="Y680" s="8"/>
      <c r="Z680" s="8"/>
    </row>
    <row r="681" ht="12.75" customHeight="1">
      <c r="A681" s="118"/>
      <c r="B681" s="232"/>
      <c r="C681" s="118"/>
      <c r="D681" s="232"/>
      <c r="E681" s="219"/>
      <c r="F681" s="232"/>
      <c r="G681" s="235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8"/>
      <c r="T681" s="8"/>
      <c r="U681" s="8"/>
      <c r="V681" s="8"/>
      <c r="W681" s="8"/>
      <c r="X681" s="8"/>
      <c r="Y681" s="8"/>
      <c r="Z681" s="8"/>
    </row>
    <row r="682" ht="12.75" customHeight="1">
      <c r="A682" s="118"/>
      <c r="B682" s="232"/>
      <c r="C682" s="118"/>
      <c r="D682" s="232"/>
      <c r="E682" s="219"/>
      <c r="F682" s="232"/>
      <c r="G682" s="235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8"/>
      <c r="T682" s="8"/>
      <c r="U682" s="8"/>
      <c r="V682" s="8"/>
      <c r="W682" s="8"/>
      <c r="X682" s="8"/>
      <c r="Y682" s="8"/>
      <c r="Z682" s="8"/>
    </row>
    <row r="683" ht="12.75" customHeight="1">
      <c r="A683" s="118"/>
      <c r="B683" s="232"/>
      <c r="C683" s="118"/>
      <c r="D683" s="232"/>
      <c r="E683" s="219"/>
      <c r="F683" s="232"/>
      <c r="G683" s="235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8"/>
      <c r="T683" s="8"/>
      <c r="U683" s="8"/>
      <c r="V683" s="8"/>
      <c r="W683" s="8"/>
      <c r="X683" s="8"/>
      <c r="Y683" s="8"/>
      <c r="Z683" s="8"/>
    </row>
    <row r="684" ht="12.75" customHeight="1">
      <c r="A684" s="118"/>
      <c r="B684" s="232"/>
      <c r="C684" s="118"/>
      <c r="D684" s="232"/>
      <c r="E684" s="219"/>
      <c r="F684" s="232"/>
      <c r="G684" s="235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8"/>
      <c r="T684" s="8"/>
      <c r="U684" s="8"/>
      <c r="V684" s="8"/>
      <c r="W684" s="8"/>
      <c r="X684" s="8"/>
      <c r="Y684" s="8"/>
      <c r="Z684" s="8"/>
    </row>
    <row r="685" ht="12.75" customHeight="1">
      <c r="A685" s="118"/>
      <c r="B685" s="232"/>
      <c r="C685" s="118"/>
      <c r="D685" s="232"/>
      <c r="E685" s="219"/>
      <c r="F685" s="232"/>
      <c r="G685" s="235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8"/>
      <c r="T685" s="8"/>
      <c r="U685" s="8"/>
      <c r="V685" s="8"/>
      <c r="W685" s="8"/>
      <c r="X685" s="8"/>
      <c r="Y685" s="8"/>
      <c r="Z685" s="8"/>
    </row>
    <row r="686" ht="12.75" customHeight="1">
      <c r="A686" s="118"/>
      <c r="B686" s="232"/>
      <c r="C686" s="118"/>
      <c r="D686" s="232"/>
      <c r="E686" s="219"/>
      <c r="F686" s="232"/>
      <c r="G686" s="235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8"/>
      <c r="T686" s="8"/>
      <c r="U686" s="8"/>
      <c r="V686" s="8"/>
      <c r="W686" s="8"/>
      <c r="X686" s="8"/>
      <c r="Y686" s="8"/>
      <c r="Z686" s="8"/>
    </row>
    <row r="687" ht="12.75" customHeight="1">
      <c r="A687" s="118"/>
      <c r="B687" s="232"/>
      <c r="C687" s="118"/>
      <c r="D687" s="232"/>
      <c r="E687" s="219"/>
      <c r="F687" s="232"/>
      <c r="G687" s="235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8"/>
      <c r="T687" s="8"/>
      <c r="U687" s="8"/>
      <c r="V687" s="8"/>
      <c r="W687" s="8"/>
      <c r="X687" s="8"/>
      <c r="Y687" s="8"/>
      <c r="Z687" s="8"/>
    </row>
    <row r="688" ht="12.75" customHeight="1">
      <c r="A688" s="118"/>
      <c r="B688" s="232"/>
      <c r="C688" s="118"/>
      <c r="D688" s="232"/>
      <c r="E688" s="219"/>
      <c r="F688" s="232"/>
      <c r="G688" s="235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8"/>
      <c r="T688" s="8"/>
      <c r="U688" s="8"/>
      <c r="V688" s="8"/>
      <c r="W688" s="8"/>
      <c r="X688" s="8"/>
      <c r="Y688" s="8"/>
      <c r="Z688" s="8"/>
    </row>
    <row r="689" ht="12.75" customHeight="1">
      <c r="A689" s="118"/>
      <c r="B689" s="232"/>
      <c r="C689" s="118"/>
      <c r="D689" s="232"/>
      <c r="E689" s="219"/>
      <c r="F689" s="232"/>
      <c r="G689" s="235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8"/>
      <c r="T689" s="8"/>
      <c r="U689" s="8"/>
      <c r="V689" s="8"/>
      <c r="W689" s="8"/>
      <c r="X689" s="8"/>
      <c r="Y689" s="8"/>
      <c r="Z689" s="8"/>
    </row>
    <row r="690" ht="12.75" customHeight="1">
      <c r="A690" s="118"/>
      <c r="B690" s="232"/>
      <c r="C690" s="118"/>
      <c r="D690" s="232"/>
      <c r="E690" s="219"/>
      <c r="F690" s="232"/>
      <c r="G690" s="235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8"/>
      <c r="T690" s="8"/>
      <c r="U690" s="8"/>
      <c r="V690" s="8"/>
      <c r="W690" s="8"/>
      <c r="X690" s="8"/>
      <c r="Y690" s="8"/>
      <c r="Z690" s="8"/>
    </row>
    <row r="691" ht="12.75" customHeight="1">
      <c r="A691" s="118"/>
      <c r="B691" s="232"/>
      <c r="C691" s="118"/>
      <c r="D691" s="232"/>
      <c r="E691" s="219"/>
      <c r="F691" s="232"/>
      <c r="G691" s="235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8"/>
      <c r="T691" s="8"/>
      <c r="U691" s="8"/>
      <c r="V691" s="8"/>
      <c r="W691" s="8"/>
      <c r="X691" s="8"/>
      <c r="Y691" s="8"/>
      <c r="Z691" s="8"/>
    </row>
    <row r="692" ht="12.75" customHeight="1">
      <c r="A692" s="118"/>
      <c r="B692" s="232"/>
      <c r="C692" s="118"/>
      <c r="D692" s="232"/>
      <c r="E692" s="219"/>
      <c r="F692" s="232"/>
      <c r="G692" s="235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8"/>
      <c r="T692" s="8"/>
      <c r="U692" s="8"/>
      <c r="V692" s="8"/>
      <c r="W692" s="8"/>
      <c r="X692" s="8"/>
      <c r="Y692" s="8"/>
      <c r="Z692" s="8"/>
    </row>
    <row r="693" ht="12.75" customHeight="1">
      <c r="A693" s="118"/>
      <c r="B693" s="232"/>
      <c r="C693" s="118"/>
      <c r="D693" s="232"/>
      <c r="E693" s="219"/>
      <c r="F693" s="232"/>
      <c r="G693" s="235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8"/>
      <c r="T693" s="8"/>
      <c r="U693" s="8"/>
      <c r="V693" s="8"/>
      <c r="W693" s="8"/>
      <c r="X693" s="8"/>
      <c r="Y693" s="8"/>
      <c r="Z693" s="8"/>
    </row>
    <row r="694" ht="12.75" customHeight="1">
      <c r="A694" s="118"/>
      <c r="B694" s="232"/>
      <c r="C694" s="118"/>
      <c r="D694" s="232"/>
      <c r="E694" s="219"/>
      <c r="F694" s="232"/>
      <c r="G694" s="235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8"/>
      <c r="T694" s="8"/>
      <c r="U694" s="8"/>
      <c r="V694" s="8"/>
      <c r="W694" s="8"/>
      <c r="X694" s="8"/>
      <c r="Y694" s="8"/>
      <c r="Z694" s="8"/>
    </row>
    <row r="695" ht="12.75" customHeight="1">
      <c r="A695" s="118"/>
      <c r="B695" s="232"/>
      <c r="C695" s="118"/>
      <c r="D695" s="232"/>
      <c r="E695" s="219"/>
      <c r="F695" s="232"/>
      <c r="G695" s="235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8"/>
      <c r="T695" s="8"/>
      <c r="U695" s="8"/>
      <c r="V695" s="8"/>
      <c r="W695" s="8"/>
      <c r="X695" s="8"/>
      <c r="Y695" s="8"/>
      <c r="Z695" s="8"/>
    </row>
    <row r="696" ht="12.75" customHeight="1">
      <c r="A696" s="118"/>
      <c r="B696" s="232"/>
      <c r="C696" s="118"/>
      <c r="D696" s="232"/>
      <c r="E696" s="219"/>
      <c r="F696" s="232"/>
      <c r="G696" s="235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8"/>
      <c r="T696" s="8"/>
      <c r="U696" s="8"/>
      <c r="V696" s="8"/>
      <c r="W696" s="8"/>
      <c r="X696" s="8"/>
      <c r="Y696" s="8"/>
      <c r="Z696" s="8"/>
    </row>
    <row r="697" ht="12.75" customHeight="1">
      <c r="A697" s="118"/>
      <c r="B697" s="232"/>
      <c r="C697" s="118"/>
      <c r="D697" s="232"/>
      <c r="E697" s="219"/>
      <c r="F697" s="232"/>
      <c r="G697" s="235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8"/>
      <c r="T697" s="8"/>
      <c r="U697" s="8"/>
      <c r="V697" s="8"/>
      <c r="W697" s="8"/>
      <c r="X697" s="8"/>
      <c r="Y697" s="8"/>
      <c r="Z697" s="8"/>
    </row>
    <row r="698" ht="12.75" customHeight="1">
      <c r="A698" s="118"/>
      <c r="B698" s="232"/>
      <c r="C698" s="118"/>
      <c r="D698" s="232"/>
      <c r="E698" s="219"/>
      <c r="F698" s="232"/>
      <c r="G698" s="235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8"/>
      <c r="T698" s="8"/>
      <c r="U698" s="8"/>
      <c r="V698" s="8"/>
      <c r="W698" s="8"/>
      <c r="X698" s="8"/>
      <c r="Y698" s="8"/>
      <c r="Z698" s="8"/>
    </row>
    <row r="699" ht="12.75" customHeight="1">
      <c r="A699" s="118"/>
      <c r="B699" s="232"/>
      <c r="C699" s="118"/>
      <c r="D699" s="232"/>
      <c r="E699" s="219"/>
      <c r="F699" s="232"/>
      <c r="G699" s="235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8"/>
      <c r="T699" s="8"/>
      <c r="U699" s="8"/>
      <c r="V699" s="8"/>
      <c r="W699" s="8"/>
      <c r="X699" s="8"/>
      <c r="Y699" s="8"/>
      <c r="Z699" s="8"/>
    </row>
    <row r="700" ht="12.75" customHeight="1">
      <c r="A700" s="118"/>
      <c r="B700" s="232"/>
      <c r="C700" s="118"/>
      <c r="D700" s="232"/>
      <c r="E700" s="219"/>
      <c r="F700" s="232"/>
      <c r="G700" s="235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8"/>
      <c r="T700" s="8"/>
      <c r="U700" s="8"/>
      <c r="V700" s="8"/>
      <c r="W700" s="8"/>
      <c r="X700" s="8"/>
      <c r="Y700" s="8"/>
      <c r="Z700" s="8"/>
    </row>
    <row r="701" ht="12.75" customHeight="1">
      <c r="A701" s="118"/>
      <c r="B701" s="232"/>
      <c r="C701" s="118"/>
      <c r="D701" s="232"/>
      <c r="E701" s="219"/>
      <c r="F701" s="232"/>
      <c r="G701" s="235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8"/>
      <c r="T701" s="8"/>
      <c r="U701" s="8"/>
      <c r="V701" s="8"/>
      <c r="W701" s="8"/>
      <c r="X701" s="8"/>
      <c r="Y701" s="8"/>
      <c r="Z701" s="8"/>
    </row>
    <row r="702" ht="12.75" customHeight="1">
      <c r="A702" s="118"/>
      <c r="B702" s="232"/>
      <c r="C702" s="118"/>
      <c r="D702" s="232"/>
      <c r="E702" s="219"/>
      <c r="F702" s="232"/>
      <c r="G702" s="235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8"/>
      <c r="T702" s="8"/>
      <c r="U702" s="8"/>
      <c r="V702" s="8"/>
      <c r="W702" s="8"/>
      <c r="X702" s="8"/>
      <c r="Y702" s="8"/>
      <c r="Z702" s="8"/>
    </row>
    <row r="703" ht="12.75" customHeight="1">
      <c r="A703" s="118"/>
      <c r="B703" s="232"/>
      <c r="C703" s="118"/>
      <c r="D703" s="232"/>
      <c r="E703" s="219"/>
      <c r="F703" s="232"/>
      <c r="G703" s="235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8"/>
      <c r="T703" s="8"/>
      <c r="U703" s="8"/>
      <c r="V703" s="8"/>
      <c r="W703" s="8"/>
      <c r="X703" s="8"/>
      <c r="Y703" s="8"/>
      <c r="Z703" s="8"/>
    </row>
    <row r="704" ht="12.75" customHeight="1">
      <c r="A704" s="118"/>
      <c r="B704" s="232"/>
      <c r="C704" s="118"/>
      <c r="D704" s="232"/>
      <c r="E704" s="219"/>
      <c r="F704" s="232"/>
      <c r="G704" s="235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8"/>
      <c r="T704" s="8"/>
      <c r="U704" s="8"/>
      <c r="V704" s="8"/>
      <c r="W704" s="8"/>
      <c r="X704" s="8"/>
      <c r="Y704" s="8"/>
      <c r="Z704" s="8"/>
    </row>
    <row r="705" ht="12.75" customHeight="1">
      <c r="A705" s="118"/>
      <c r="B705" s="232"/>
      <c r="C705" s="118"/>
      <c r="D705" s="232"/>
      <c r="E705" s="219"/>
      <c r="F705" s="232"/>
      <c r="G705" s="235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8"/>
      <c r="T705" s="8"/>
      <c r="U705" s="8"/>
      <c r="V705" s="8"/>
      <c r="W705" s="8"/>
      <c r="X705" s="8"/>
      <c r="Y705" s="8"/>
      <c r="Z705" s="8"/>
    </row>
    <row r="706" ht="12.75" customHeight="1">
      <c r="A706" s="118"/>
      <c r="B706" s="232"/>
      <c r="C706" s="118"/>
      <c r="D706" s="232"/>
      <c r="E706" s="219"/>
      <c r="F706" s="232"/>
      <c r="G706" s="235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8"/>
      <c r="T706" s="8"/>
      <c r="U706" s="8"/>
      <c r="V706" s="8"/>
      <c r="W706" s="8"/>
      <c r="X706" s="8"/>
      <c r="Y706" s="8"/>
      <c r="Z706" s="8"/>
    </row>
    <row r="707" ht="12.75" customHeight="1">
      <c r="A707" s="118"/>
      <c r="B707" s="232"/>
      <c r="C707" s="118"/>
      <c r="D707" s="232"/>
      <c r="E707" s="219"/>
      <c r="F707" s="232"/>
      <c r="G707" s="235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8"/>
      <c r="T707" s="8"/>
      <c r="U707" s="8"/>
      <c r="V707" s="8"/>
      <c r="W707" s="8"/>
      <c r="X707" s="8"/>
      <c r="Y707" s="8"/>
      <c r="Z707" s="8"/>
    </row>
    <row r="708" ht="12.75" customHeight="1">
      <c r="A708" s="118"/>
      <c r="B708" s="232"/>
      <c r="C708" s="118"/>
      <c r="D708" s="232"/>
      <c r="E708" s="219"/>
      <c r="F708" s="232"/>
      <c r="G708" s="235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8"/>
      <c r="T708" s="8"/>
      <c r="U708" s="8"/>
      <c r="V708" s="8"/>
      <c r="W708" s="8"/>
      <c r="X708" s="8"/>
      <c r="Y708" s="8"/>
      <c r="Z708" s="8"/>
    </row>
    <row r="709" ht="12.75" customHeight="1">
      <c r="A709" s="118"/>
      <c r="B709" s="232"/>
      <c r="C709" s="118"/>
      <c r="D709" s="232"/>
      <c r="E709" s="219"/>
      <c r="F709" s="232"/>
      <c r="G709" s="235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8"/>
      <c r="T709" s="8"/>
      <c r="U709" s="8"/>
      <c r="V709" s="8"/>
      <c r="W709" s="8"/>
      <c r="X709" s="8"/>
      <c r="Y709" s="8"/>
      <c r="Z709" s="8"/>
    </row>
    <row r="710" ht="12.75" customHeight="1">
      <c r="A710" s="118"/>
      <c r="B710" s="232"/>
      <c r="C710" s="118"/>
      <c r="D710" s="232"/>
      <c r="E710" s="219"/>
      <c r="F710" s="232"/>
      <c r="G710" s="235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8"/>
      <c r="T710" s="8"/>
      <c r="U710" s="8"/>
      <c r="V710" s="8"/>
      <c r="W710" s="8"/>
      <c r="X710" s="8"/>
      <c r="Y710" s="8"/>
      <c r="Z710" s="8"/>
    </row>
    <row r="711" ht="12.75" customHeight="1">
      <c r="A711" s="118"/>
      <c r="B711" s="232"/>
      <c r="C711" s="118"/>
      <c r="D711" s="232"/>
      <c r="E711" s="219"/>
      <c r="F711" s="232"/>
      <c r="G711" s="235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8"/>
      <c r="T711" s="8"/>
      <c r="U711" s="8"/>
      <c r="V711" s="8"/>
      <c r="W711" s="8"/>
      <c r="X711" s="8"/>
      <c r="Y711" s="8"/>
      <c r="Z711" s="8"/>
    </row>
    <row r="712" ht="12.75" customHeight="1">
      <c r="A712" s="118"/>
      <c r="B712" s="232"/>
      <c r="C712" s="118"/>
      <c r="D712" s="232"/>
      <c r="E712" s="219"/>
      <c r="F712" s="232"/>
      <c r="G712" s="235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8"/>
      <c r="T712" s="8"/>
      <c r="U712" s="8"/>
      <c r="V712" s="8"/>
      <c r="W712" s="8"/>
      <c r="X712" s="8"/>
      <c r="Y712" s="8"/>
      <c r="Z712" s="8"/>
    </row>
    <row r="713" ht="12.75" customHeight="1">
      <c r="A713" s="118"/>
      <c r="B713" s="232"/>
      <c r="C713" s="118"/>
      <c r="D713" s="232"/>
      <c r="E713" s="219"/>
      <c r="F713" s="232"/>
      <c r="G713" s="235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8"/>
      <c r="T713" s="8"/>
      <c r="U713" s="8"/>
      <c r="V713" s="8"/>
      <c r="W713" s="8"/>
      <c r="X713" s="8"/>
      <c r="Y713" s="8"/>
      <c r="Z713" s="8"/>
    </row>
    <row r="714" ht="12.75" customHeight="1">
      <c r="A714" s="118"/>
      <c r="B714" s="232"/>
      <c r="C714" s="118"/>
      <c r="D714" s="232"/>
      <c r="E714" s="219"/>
      <c r="F714" s="232"/>
      <c r="G714" s="235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8"/>
      <c r="T714" s="8"/>
      <c r="U714" s="8"/>
      <c r="V714" s="8"/>
      <c r="W714" s="8"/>
      <c r="X714" s="8"/>
      <c r="Y714" s="8"/>
      <c r="Z714" s="8"/>
    </row>
    <row r="715" ht="12.75" customHeight="1">
      <c r="A715" s="118"/>
      <c r="B715" s="232"/>
      <c r="C715" s="118"/>
      <c r="D715" s="232"/>
      <c r="E715" s="219"/>
      <c r="F715" s="232"/>
      <c r="G715" s="235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8"/>
      <c r="T715" s="8"/>
      <c r="U715" s="8"/>
      <c r="V715" s="8"/>
      <c r="W715" s="8"/>
      <c r="X715" s="8"/>
      <c r="Y715" s="8"/>
      <c r="Z715" s="8"/>
    </row>
    <row r="716" ht="12.75" customHeight="1">
      <c r="A716" s="118"/>
      <c r="B716" s="232"/>
      <c r="C716" s="118"/>
      <c r="D716" s="232"/>
      <c r="E716" s="219"/>
      <c r="F716" s="232"/>
      <c r="G716" s="235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8"/>
      <c r="T716" s="8"/>
      <c r="U716" s="8"/>
      <c r="V716" s="8"/>
      <c r="W716" s="8"/>
      <c r="X716" s="8"/>
      <c r="Y716" s="8"/>
      <c r="Z716" s="8"/>
    </row>
    <row r="717" ht="12.75" customHeight="1">
      <c r="A717" s="118"/>
      <c r="B717" s="232"/>
      <c r="C717" s="118"/>
      <c r="D717" s="232"/>
      <c r="E717" s="219"/>
      <c r="F717" s="232"/>
      <c r="G717" s="235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8"/>
      <c r="T717" s="8"/>
      <c r="U717" s="8"/>
      <c r="V717" s="8"/>
      <c r="W717" s="8"/>
      <c r="X717" s="8"/>
      <c r="Y717" s="8"/>
      <c r="Z717" s="8"/>
    </row>
    <row r="718" ht="12.75" customHeight="1">
      <c r="A718" s="118"/>
      <c r="B718" s="232"/>
      <c r="C718" s="118"/>
      <c r="D718" s="232"/>
      <c r="E718" s="219"/>
      <c r="F718" s="232"/>
      <c r="G718" s="235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8"/>
      <c r="T718" s="8"/>
      <c r="U718" s="8"/>
      <c r="V718" s="8"/>
      <c r="W718" s="8"/>
      <c r="X718" s="8"/>
      <c r="Y718" s="8"/>
      <c r="Z718" s="8"/>
    </row>
    <row r="719" ht="12.75" customHeight="1">
      <c r="A719" s="118"/>
      <c r="B719" s="232"/>
      <c r="C719" s="118"/>
      <c r="D719" s="232"/>
      <c r="E719" s="219"/>
      <c r="F719" s="232"/>
      <c r="G719" s="235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8"/>
      <c r="T719" s="8"/>
      <c r="U719" s="8"/>
      <c r="V719" s="8"/>
      <c r="W719" s="8"/>
      <c r="X719" s="8"/>
      <c r="Y719" s="8"/>
      <c r="Z719" s="8"/>
    </row>
    <row r="720" ht="12.75" customHeight="1">
      <c r="A720" s="118"/>
      <c r="B720" s="232"/>
      <c r="C720" s="118"/>
      <c r="D720" s="232"/>
      <c r="E720" s="219"/>
      <c r="F720" s="232"/>
      <c r="G720" s="235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8"/>
      <c r="T720" s="8"/>
      <c r="U720" s="8"/>
      <c r="V720" s="8"/>
      <c r="W720" s="8"/>
      <c r="X720" s="8"/>
      <c r="Y720" s="8"/>
      <c r="Z720" s="8"/>
    </row>
    <row r="721" ht="12.75" customHeight="1">
      <c r="A721" s="118"/>
      <c r="B721" s="232"/>
      <c r="C721" s="118"/>
      <c r="D721" s="232"/>
      <c r="E721" s="219"/>
      <c r="F721" s="232"/>
      <c r="G721" s="235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8"/>
      <c r="T721" s="8"/>
      <c r="U721" s="8"/>
      <c r="V721" s="8"/>
      <c r="W721" s="8"/>
      <c r="X721" s="8"/>
      <c r="Y721" s="8"/>
      <c r="Z721" s="8"/>
    </row>
    <row r="722" ht="12.75" customHeight="1">
      <c r="A722" s="118"/>
      <c r="B722" s="232"/>
      <c r="C722" s="118"/>
      <c r="D722" s="232"/>
      <c r="E722" s="219"/>
      <c r="F722" s="232"/>
      <c r="G722" s="235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8"/>
      <c r="T722" s="8"/>
      <c r="U722" s="8"/>
      <c r="V722" s="8"/>
      <c r="W722" s="8"/>
      <c r="X722" s="8"/>
      <c r="Y722" s="8"/>
      <c r="Z722" s="8"/>
    </row>
    <row r="723" ht="12.75" customHeight="1">
      <c r="A723" s="118"/>
      <c r="B723" s="232"/>
      <c r="C723" s="118"/>
      <c r="D723" s="232"/>
      <c r="E723" s="219"/>
      <c r="F723" s="232"/>
      <c r="G723" s="235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8"/>
      <c r="T723" s="8"/>
      <c r="U723" s="8"/>
      <c r="V723" s="8"/>
      <c r="W723" s="8"/>
      <c r="X723" s="8"/>
      <c r="Y723" s="8"/>
      <c r="Z723" s="8"/>
    </row>
    <row r="724" ht="12.75" customHeight="1">
      <c r="A724" s="118"/>
      <c r="B724" s="232"/>
      <c r="C724" s="118"/>
      <c r="D724" s="232"/>
      <c r="E724" s="219"/>
      <c r="F724" s="232"/>
      <c r="G724" s="235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8"/>
      <c r="T724" s="8"/>
      <c r="U724" s="8"/>
      <c r="V724" s="8"/>
      <c r="W724" s="8"/>
      <c r="X724" s="8"/>
      <c r="Y724" s="8"/>
      <c r="Z724" s="8"/>
    </row>
    <row r="725" ht="12.75" customHeight="1">
      <c r="A725" s="118"/>
      <c r="B725" s="232"/>
      <c r="C725" s="118"/>
      <c r="D725" s="232"/>
      <c r="E725" s="219"/>
      <c r="F725" s="232"/>
      <c r="G725" s="235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8"/>
      <c r="T725" s="8"/>
      <c r="U725" s="8"/>
      <c r="V725" s="8"/>
      <c r="W725" s="8"/>
      <c r="X725" s="8"/>
      <c r="Y725" s="8"/>
      <c r="Z725" s="8"/>
    </row>
    <row r="726" ht="12.75" customHeight="1">
      <c r="A726" s="118"/>
      <c r="B726" s="232"/>
      <c r="C726" s="118"/>
      <c r="D726" s="232"/>
      <c r="E726" s="219"/>
      <c r="F726" s="232"/>
      <c r="G726" s="235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8"/>
      <c r="T726" s="8"/>
      <c r="U726" s="8"/>
      <c r="V726" s="8"/>
      <c r="W726" s="8"/>
      <c r="X726" s="8"/>
      <c r="Y726" s="8"/>
      <c r="Z726" s="8"/>
    </row>
    <row r="727" ht="12.75" customHeight="1">
      <c r="A727" s="118"/>
      <c r="B727" s="232"/>
      <c r="C727" s="118"/>
      <c r="D727" s="232"/>
      <c r="E727" s="219"/>
      <c r="F727" s="232"/>
      <c r="G727" s="235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8"/>
      <c r="T727" s="8"/>
      <c r="U727" s="8"/>
      <c r="V727" s="8"/>
      <c r="W727" s="8"/>
      <c r="X727" s="8"/>
      <c r="Y727" s="8"/>
      <c r="Z727" s="8"/>
    </row>
    <row r="728" ht="12.75" customHeight="1">
      <c r="A728" s="118"/>
      <c r="B728" s="232"/>
      <c r="C728" s="118"/>
      <c r="D728" s="232"/>
      <c r="E728" s="219"/>
      <c r="F728" s="232"/>
      <c r="G728" s="235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8"/>
      <c r="T728" s="8"/>
      <c r="U728" s="8"/>
      <c r="V728" s="8"/>
      <c r="W728" s="8"/>
      <c r="X728" s="8"/>
      <c r="Y728" s="8"/>
      <c r="Z728" s="8"/>
    </row>
    <row r="729" ht="12.75" customHeight="1">
      <c r="A729" s="118"/>
      <c r="B729" s="232"/>
      <c r="C729" s="118"/>
      <c r="D729" s="232"/>
      <c r="E729" s="219"/>
      <c r="F729" s="232"/>
      <c r="G729" s="235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8"/>
      <c r="T729" s="8"/>
      <c r="U729" s="8"/>
      <c r="V729" s="8"/>
      <c r="W729" s="8"/>
      <c r="X729" s="8"/>
      <c r="Y729" s="8"/>
      <c r="Z729" s="8"/>
    </row>
    <row r="730" ht="12.75" customHeight="1">
      <c r="A730" s="118"/>
      <c r="B730" s="232"/>
      <c r="C730" s="118"/>
      <c r="D730" s="232"/>
      <c r="E730" s="219"/>
      <c r="F730" s="232"/>
      <c r="G730" s="235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8"/>
      <c r="T730" s="8"/>
      <c r="U730" s="8"/>
      <c r="V730" s="8"/>
      <c r="W730" s="8"/>
      <c r="X730" s="8"/>
      <c r="Y730" s="8"/>
      <c r="Z730" s="8"/>
    </row>
    <row r="731" ht="12.75" customHeight="1">
      <c r="A731" s="118"/>
      <c r="B731" s="232"/>
      <c r="C731" s="118"/>
      <c r="D731" s="232"/>
      <c r="E731" s="219"/>
      <c r="F731" s="232"/>
      <c r="G731" s="235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8"/>
      <c r="T731" s="8"/>
      <c r="U731" s="8"/>
      <c r="V731" s="8"/>
      <c r="W731" s="8"/>
      <c r="X731" s="8"/>
      <c r="Y731" s="8"/>
      <c r="Z731" s="8"/>
    </row>
    <row r="732" ht="12.75" customHeight="1">
      <c r="A732" s="118"/>
      <c r="B732" s="232"/>
      <c r="C732" s="118"/>
      <c r="D732" s="232"/>
      <c r="E732" s="219"/>
      <c r="F732" s="232"/>
      <c r="G732" s="235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8"/>
      <c r="T732" s="8"/>
      <c r="U732" s="8"/>
      <c r="V732" s="8"/>
      <c r="W732" s="8"/>
      <c r="X732" s="8"/>
      <c r="Y732" s="8"/>
      <c r="Z732" s="8"/>
    </row>
    <row r="733" ht="12.75" customHeight="1">
      <c r="A733" s="118"/>
      <c r="B733" s="232"/>
      <c r="C733" s="118"/>
      <c r="D733" s="232"/>
      <c r="E733" s="219"/>
      <c r="F733" s="232"/>
      <c r="G733" s="235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8"/>
      <c r="T733" s="8"/>
      <c r="U733" s="8"/>
      <c r="V733" s="8"/>
      <c r="W733" s="8"/>
      <c r="X733" s="8"/>
      <c r="Y733" s="8"/>
      <c r="Z733" s="8"/>
    </row>
    <row r="734" ht="12.75" customHeight="1">
      <c r="A734" s="118"/>
      <c r="B734" s="232"/>
      <c r="C734" s="118"/>
      <c r="D734" s="232"/>
      <c r="E734" s="219"/>
      <c r="F734" s="232"/>
      <c r="G734" s="235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8"/>
      <c r="T734" s="8"/>
      <c r="U734" s="8"/>
      <c r="V734" s="8"/>
      <c r="W734" s="8"/>
      <c r="X734" s="8"/>
      <c r="Y734" s="8"/>
      <c r="Z734" s="8"/>
    </row>
    <row r="735" ht="12.75" customHeight="1">
      <c r="A735" s="118"/>
      <c r="B735" s="232"/>
      <c r="C735" s="118"/>
      <c r="D735" s="232"/>
      <c r="E735" s="219"/>
      <c r="F735" s="232"/>
      <c r="G735" s="235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8"/>
      <c r="T735" s="8"/>
      <c r="U735" s="8"/>
      <c r="V735" s="8"/>
      <c r="W735" s="8"/>
      <c r="X735" s="8"/>
      <c r="Y735" s="8"/>
      <c r="Z735" s="8"/>
    </row>
    <row r="736" ht="12.75" customHeight="1">
      <c r="A736" s="118"/>
      <c r="B736" s="232"/>
      <c r="C736" s="118"/>
      <c r="D736" s="232"/>
      <c r="E736" s="219"/>
      <c r="F736" s="232"/>
      <c r="G736" s="235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8"/>
      <c r="T736" s="8"/>
      <c r="U736" s="8"/>
      <c r="V736" s="8"/>
      <c r="W736" s="8"/>
      <c r="X736" s="8"/>
      <c r="Y736" s="8"/>
      <c r="Z736" s="8"/>
    </row>
    <row r="737" ht="12.75" customHeight="1">
      <c r="A737" s="118"/>
      <c r="B737" s="232"/>
      <c r="C737" s="118"/>
      <c r="D737" s="232"/>
      <c r="E737" s="219"/>
      <c r="F737" s="232"/>
      <c r="G737" s="235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8"/>
      <c r="T737" s="8"/>
      <c r="U737" s="8"/>
      <c r="V737" s="8"/>
      <c r="W737" s="8"/>
      <c r="X737" s="8"/>
      <c r="Y737" s="8"/>
      <c r="Z737" s="8"/>
    </row>
    <row r="738" ht="12.75" customHeight="1">
      <c r="A738" s="118"/>
      <c r="B738" s="232"/>
      <c r="C738" s="118"/>
      <c r="D738" s="232"/>
      <c r="E738" s="219"/>
      <c r="F738" s="232"/>
      <c r="G738" s="235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8"/>
      <c r="T738" s="8"/>
      <c r="U738" s="8"/>
      <c r="V738" s="8"/>
      <c r="W738" s="8"/>
      <c r="X738" s="8"/>
      <c r="Y738" s="8"/>
      <c r="Z738" s="8"/>
    </row>
    <row r="739" ht="12.75" customHeight="1">
      <c r="A739" s="118"/>
      <c r="B739" s="232"/>
      <c r="C739" s="118"/>
      <c r="D739" s="232"/>
      <c r="E739" s="219"/>
      <c r="F739" s="232"/>
      <c r="G739" s="235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8"/>
      <c r="T739" s="8"/>
      <c r="U739" s="8"/>
      <c r="V739" s="8"/>
      <c r="W739" s="8"/>
      <c r="X739" s="8"/>
      <c r="Y739" s="8"/>
      <c r="Z739" s="8"/>
    </row>
    <row r="740" ht="12.75" customHeight="1">
      <c r="A740" s="118"/>
      <c r="B740" s="232"/>
      <c r="C740" s="118"/>
      <c r="D740" s="232"/>
      <c r="E740" s="219"/>
      <c r="F740" s="232"/>
      <c r="G740" s="235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8"/>
      <c r="T740" s="8"/>
      <c r="U740" s="8"/>
      <c r="V740" s="8"/>
      <c r="W740" s="8"/>
      <c r="X740" s="8"/>
      <c r="Y740" s="8"/>
      <c r="Z740" s="8"/>
    </row>
    <row r="741" ht="12.75" customHeight="1">
      <c r="A741" s="118"/>
      <c r="B741" s="232"/>
      <c r="C741" s="118"/>
      <c r="D741" s="232"/>
      <c r="E741" s="219"/>
      <c r="F741" s="232"/>
      <c r="G741" s="235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8"/>
      <c r="T741" s="8"/>
      <c r="U741" s="8"/>
      <c r="V741" s="8"/>
      <c r="W741" s="8"/>
      <c r="X741" s="8"/>
      <c r="Y741" s="8"/>
      <c r="Z741" s="8"/>
    </row>
    <row r="742" ht="12.75" customHeight="1">
      <c r="A742" s="118"/>
      <c r="B742" s="232"/>
      <c r="C742" s="118"/>
      <c r="D742" s="232"/>
      <c r="E742" s="219"/>
      <c r="F742" s="232"/>
      <c r="G742" s="235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8"/>
      <c r="T742" s="8"/>
      <c r="U742" s="8"/>
      <c r="V742" s="8"/>
      <c r="W742" s="8"/>
      <c r="X742" s="8"/>
      <c r="Y742" s="8"/>
      <c r="Z742" s="8"/>
    </row>
    <row r="743" ht="12.75" customHeight="1">
      <c r="A743" s="118"/>
      <c r="B743" s="232"/>
      <c r="C743" s="118"/>
      <c r="D743" s="232"/>
      <c r="E743" s="219"/>
      <c r="F743" s="232"/>
      <c r="G743" s="235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8"/>
      <c r="T743" s="8"/>
      <c r="U743" s="8"/>
      <c r="V743" s="8"/>
      <c r="W743" s="8"/>
      <c r="X743" s="8"/>
      <c r="Y743" s="8"/>
      <c r="Z743" s="8"/>
    </row>
    <row r="744" ht="12.75" customHeight="1">
      <c r="A744" s="118"/>
      <c r="B744" s="232"/>
      <c r="C744" s="118"/>
      <c r="D744" s="232"/>
      <c r="E744" s="219"/>
      <c r="F744" s="232"/>
      <c r="G744" s="235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8"/>
      <c r="T744" s="8"/>
      <c r="U744" s="8"/>
      <c r="V744" s="8"/>
      <c r="W744" s="8"/>
      <c r="X744" s="8"/>
      <c r="Y744" s="8"/>
      <c r="Z744" s="8"/>
    </row>
    <row r="745" ht="12.75" customHeight="1">
      <c r="A745" s="118"/>
      <c r="B745" s="232"/>
      <c r="C745" s="118"/>
      <c r="D745" s="232"/>
      <c r="E745" s="219"/>
      <c r="F745" s="232"/>
      <c r="G745" s="235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8"/>
      <c r="T745" s="8"/>
      <c r="U745" s="8"/>
      <c r="V745" s="8"/>
      <c r="W745" s="8"/>
      <c r="X745" s="8"/>
      <c r="Y745" s="8"/>
      <c r="Z745" s="8"/>
    </row>
    <row r="746" ht="12.75" customHeight="1">
      <c r="A746" s="118"/>
      <c r="B746" s="232"/>
      <c r="C746" s="118"/>
      <c r="D746" s="232"/>
      <c r="E746" s="219"/>
      <c r="F746" s="232"/>
      <c r="G746" s="235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8"/>
      <c r="T746" s="8"/>
      <c r="U746" s="8"/>
      <c r="V746" s="8"/>
      <c r="W746" s="8"/>
      <c r="X746" s="8"/>
      <c r="Y746" s="8"/>
      <c r="Z746" s="8"/>
    </row>
    <row r="747" ht="12.75" customHeight="1">
      <c r="A747" s="118"/>
      <c r="B747" s="232"/>
      <c r="C747" s="118"/>
      <c r="D747" s="232"/>
      <c r="E747" s="219"/>
      <c r="F747" s="232"/>
      <c r="G747" s="235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8"/>
      <c r="T747" s="8"/>
      <c r="U747" s="8"/>
      <c r="V747" s="8"/>
      <c r="W747" s="8"/>
      <c r="X747" s="8"/>
      <c r="Y747" s="8"/>
      <c r="Z747" s="8"/>
    </row>
    <row r="748" ht="12.75" customHeight="1">
      <c r="A748" s="118"/>
      <c r="B748" s="232"/>
      <c r="C748" s="118"/>
      <c r="D748" s="232"/>
      <c r="E748" s="219"/>
      <c r="F748" s="232"/>
      <c r="G748" s="235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8"/>
      <c r="T748" s="8"/>
      <c r="U748" s="8"/>
      <c r="V748" s="8"/>
      <c r="W748" s="8"/>
      <c r="X748" s="8"/>
      <c r="Y748" s="8"/>
      <c r="Z748" s="8"/>
    </row>
    <row r="749" ht="12.75" customHeight="1">
      <c r="A749" s="118"/>
      <c r="B749" s="232"/>
      <c r="C749" s="118"/>
      <c r="D749" s="232"/>
      <c r="E749" s="219"/>
      <c r="F749" s="232"/>
      <c r="G749" s="235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8"/>
      <c r="T749" s="8"/>
      <c r="U749" s="8"/>
      <c r="V749" s="8"/>
      <c r="W749" s="8"/>
      <c r="X749" s="8"/>
      <c r="Y749" s="8"/>
      <c r="Z749" s="8"/>
    </row>
    <row r="750" ht="12.75" customHeight="1">
      <c r="A750" s="118"/>
      <c r="B750" s="232"/>
      <c r="C750" s="118"/>
      <c r="D750" s="232"/>
      <c r="E750" s="219"/>
      <c r="F750" s="232"/>
      <c r="G750" s="235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8"/>
      <c r="T750" s="8"/>
      <c r="U750" s="8"/>
      <c r="V750" s="8"/>
      <c r="W750" s="8"/>
      <c r="X750" s="8"/>
      <c r="Y750" s="8"/>
      <c r="Z750" s="8"/>
    </row>
    <row r="751" ht="12.75" customHeight="1">
      <c r="A751" s="118"/>
      <c r="B751" s="232"/>
      <c r="C751" s="118"/>
      <c r="D751" s="232"/>
      <c r="E751" s="219"/>
      <c r="F751" s="232"/>
      <c r="G751" s="235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8"/>
      <c r="T751" s="8"/>
      <c r="U751" s="8"/>
      <c r="V751" s="8"/>
      <c r="W751" s="8"/>
      <c r="X751" s="8"/>
      <c r="Y751" s="8"/>
      <c r="Z751" s="8"/>
    </row>
    <row r="752" ht="12.75" customHeight="1">
      <c r="A752" s="118"/>
      <c r="B752" s="232"/>
      <c r="C752" s="118"/>
      <c r="D752" s="232"/>
      <c r="E752" s="219"/>
      <c r="F752" s="232"/>
      <c r="G752" s="235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8"/>
      <c r="T752" s="8"/>
      <c r="U752" s="8"/>
      <c r="V752" s="8"/>
      <c r="W752" s="8"/>
      <c r="X752" s="8"/>
      <c r="Y752" s="8"/>
      <c r="Z752" s="8"/>
    </row>
    <row r="753" ht="12.75" customHeight="1">
      <c r="A753" s="118"/>
      <c r="B753" s="232"/>
      <c r="C753" s="118"/>
      <c r="D753" s="232"/>
      <c r="E753" s="219"/>
      <c r="F753" s="232"/>
      <c r="G753" s="235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8"/>
      <c r="T753" s="8"/>
      <c r="U753" s="8"/>
      <c r="V753" s="8"/>
      <c r="W753" s="8"/>
      <c r="X753" s="8"/>
      <c r="Y753" s="8"/>
      <c r="Z753" s="8"/>
    </row>
    <row r="754" ht="12.75" customHeight="1">
      <c r="A754" s="118"/>
      <c r="B754" s="232"/>
      <c r="C754" s="118"/>
      <c r="D754" s="232"/>
      <c r="E754" s="219"/>
      <c r="F754" s="232"/>
      <c r="G754" s="235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8"/>
      <c r="T754" s="8"/>
      <c r="U754" s="8"/>
      <c r="V754" s="8"/>
      <c r="W754" s="8"/>
      <c r="X754" s="8"/>
      <c r="Y754" s="8"/>
      <c r="Z754" s="8"/>
    </row>
    <row r="755" ht="12.75" customHeight="1">
      <c r="A755" s="118"/>
      <c r="B755" s="232"/>
      <c r="C755" s="118"/>
      <c r="D755" s="232"/>
      <c r="E755" s="219"/>
      <c r="F755" s="232"/>
      <c r="G755" s="235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8"/>
      <c r="T755" s="8"/>
      <c r="U755" s="8"/>
      <c r="V755" s="8"/>
      <c r="W755" s="8"/>
      <c r="X755" s="8"/>
      <c r="Y755" s="8"/>
      <c r="Z755" s="8"/>
    </row>
    <row r="756" ht="12.75" customHeight="1">
      <c r="A756" s="118"/>
      <c r="B756" s="232"/>
      <c r="C756" s="118"/>
      <c r="D756" s="232"/>
      <c r="E756" s="219"/>
      <c r="F756" s="232"/>
      <c r="G756" s="235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8"/>
      <c r="T756" s="8"/>
      <c r="U756" s="8"/>
      <c r="V756" s="8"/>
      <c r="W756" s="8"/>
      <c r="X756" s="8"/>
      <c r="Y756" s="8"/>
      <c r="Z756" s="8"/>
    </row>
    <row r="757" ht="12.75" customHeight="1">
      <c r="A757" s="118"/>
      <c r="B757" s="232"/>
      <c r="C757" s="118"/>
      <c r="D757" s="232"/>
      <c r="E757" s="219"/>
      <c r="F757" s="232"/>
      <c r="G757" s="235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8"/>
      <c r="T757" s="8"/>
      <c r="U757" s="8"/>
      <c r="V757" s="8"/>
      <c r="W757" s="8"/>
      <c r="X757" s="8"/>
      <c r="Y757" s="8"/>
      <c r="Z757" s="8"/>
    </row>
    <row r="758" ht="12.75" customHeight="1">
      <c r="A758" s="118"/>
      <c r="B758" s="232"/>
      <c r="C758" s="118"/>
      <c r="D758" s="232"/>
      <c r="E758" s="219"/>
      <c r="F758" s="232"/>
      <c r="G758" s="235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8"/>
      <c r="T758" s="8"/>
      <c r="U758" s="8"/>
      <c r="V758" s="8"/>
      <c r="W758" s="8"/>
      <c r="X758" s="8"/>
      <c r="Y758" s="8"/>
      <c r="Z758" s="8"/>
    </row>
    <row r="759" ht="12.75" customHeight="1">
      <c r="A759" s="118"/>
      <c r="B759" s="232"/>
      <c r="C759" s="118"/>
      <c r="D759" s="232"/>
      <c r="E759" s="219"/>
      <c r="F759" s="232"/>
      <c r="G759" s="235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8"/>
      <c r="T759" s="8"/>
      <c r="U759" s="8"/>
      <c r="V759" s="8"/>
      <c r="W759" s="8"/>
      <c r="X759" s="8"/>
      <c r="Y759" s="8"/>
      <c r="Z759" s="8"/>
    </row>
    <row r="760" ht="12.75" customHeight="1">
      <c r="A760" s="118"/>
      <c r="B760" s="232"/>
      <c r="C760" s="118"/>
      <c r="D760" s="232"/>
      <c r="E760" s="219"/>
      <c r="F760" s="232"/>
      <c r="G760" s="235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8"/>
      <c r="T760" s="8"/>
      <c r="U760" s="8"/>
      <c r="V760" s="8"/>
      <c r="W760" s="8"/>
      <c r="X760" s="8"/>
      <c r="Y760" s="8"/>
      <c r="Z760" s="8"/>
    </row>
    <row r="761" ht="12.75" customHeight="1">
      <c r="A761" s="118"/>
      <c r="B761" s="232"/>
      <c r="C761" s="118"/>
      <c r="D761" s="232"/>
      <c r="E761" s="219"/>
      <c r="F761" s="232"/>
      <c r="G761" s="235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8"/>
      <c r="T761" s="8"/>
      <c r="U761" s="8"/>
      <c r="V761" s="8"/>
      <c r="W761" s="8"/>
      <c r="X761" s="8"/>
      <c r="Y761" s="8"/>
      <c r="Z761" s="8"/>
    </row>
    <row r="762" ht="12.75" customHeight="1">
      <c r="A762" s="118"/>
      <c r="B762" s="232"/>
      <c r="C762" s="118"/>
      <c r="D762" s="232"/>
      <c r="E762" s="219"/>
      <c r="F762" s="232"/>
      <c r="G762" s="235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8"/>
      <c r="T762" s="8"/>
      <c r="U762" s="8"/>
      <c r="V762" s="8"/>
      <c r="W762" s="8"/>
      <c r="X762" s="8"/>
      <c r="Y762" s="8"/>
      <c r="Z762" s="8"/>
    </row>
    <row r="763" ht="12.75" customHeight="1">
      <c r="A763" s="118"/>
      <c r="B763" s="232"/>
      <c r="C763" s="118"/>
      <c r="D763" s="232"/>
      <c r="E763" s="219"/>
      <c r="F763" s="232"/>
      <c r="G763" s="235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8"/>
      <c r="T763" s="8"/>
      <c r="U763" s="8"/>
      <c r="V763" s="8"/>
      <c r="W763" s="8"/>
      <c r="X763" s="8"/>
      <c r="Y763" s="8"/>
      <c r="Z763" s="8"/>
    </row>
    <row r="764" ht="12.75" customHeight="1">
      <c r="A764" s="118"/>
      <c r="B764" s="232"/>
      <c r="C764" s="118"/>
      <c r="D764" s="232"/>
      <c r="E764" s="219"/>
      <c r="F764" s="232"/>
      <c r="G764" s="235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8"/>
      <c r="T764" s="8"/>
      <c r="U764" s="8"/>
      <c r="V764" s="8"/>
      <c r="W764" s="8"/>
      <c r="X764" s="8"/>
      <c r="Y764" s="8"/>
      <c r="Z764" s="8"/>
    </row>
    <row r="765" ht="12.75" customHeight="1">
      <c r="A765" s="118"/>
      <c r="B765" s="232"/>
      <c r="C765" s="118"/>
      <c r="D765" s="232"/>
      <c r="E765" s="219"/>
      <c r="F765" s="232"/>
      <c r="G765" s="235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8"/>
      <c r="T765" s="8"/>
      <c r="U765" s="8"/>
      <c r="V765" s="8"/>
      <c r="W765" s="8"/>
      <c r="X765" s="8"/>
      <c r="Y765" s="8"/>
      <c r="Z765" s="8"/>
    </row>
    <row r="766" ht="12.75" customHeight="1">
      <c r="A766" s="118"/>
      <c r="B766" s="232"/>
      <c r="C766" s="118"/>
      <c r="D766" s="232"/>
      <c r="E766" s="219"/>
      <c r="F766" s="232"/>
      <c r="G766" s="235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8"/>
      <c r="T766" s="8"/>
      <c r="U766" s="8"/>
      <c r="V766" s="8"/>
      <c r="W766" s="8"/>
      <c r="X766" s="8"/>
      <c r="Y766" s="8"/>
      <c r="Z766" s="8"/>
    </row>
    <row r="767" ht="12.75" customHeight="1">
      <c r="A767" s="118"/>
      <c r="B767" s="232"/>
      <c r="C767" s="118"/>
      <c r="D767" s="232"/>
      <c r="E767" s="219"/>
      <c r="F767" s="232"/>
      <c r="G767" s="235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8"/>
      <c r="T767" s="8"/>
      <c r="U767" s="8"/>
      <c r="V767" s="8"/>
      <c r="W767" s="8"/>
      <c r="X767" s="8"/>
      <c r="Y767" s="8"/>
      <c r="Z767" s="8"/>
    </row>
    <row r="768" ht="12.75" customHeight="1">
      <c r="A768" s="118"/>
      <c r="B768" s="232"/>
      <c r="C768" s="118"/>
      <c r="D768" s="232"/>
      <c r="E768" s="219"/>
      <c r="F768" s="232"/>
      <c r="G768" s="235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8"/>
      <c r="T768" s="8"/>
      <c r="U768" s="8"/>
      <c r="V768" s="8"/>
      <c r="W768" s="8"/>
      <c r="X768" s="8"/>
      <c r="Y768" s="8"/>
      <c r="Z768" s="8"/>
    </row>
    <row r="769" ht="12.75" customHeight="1">
      <c r="A769" s="118"/>
      <c r="B769" s="232"/>
      <c r="C769" s="118"/>
      <c r="D769" s="232"/>
      <c r="E769" s="219"/>
      <c r="F769" s="232"/>
      <c r="G769" s="235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8"/>
      <c r="T769" s="8"/>
      <c r="U769" s="8"/>
      <c r="V769" s="8"/>
      <c r="W769" s="8"/>
      <c r="X769" s="8"/>
      <c r="Y769" s="8"/>
      <c r="Z769" s="8"/>
    </row>
    <row r="770" ht="12.75" customHeight="1">
      <c r="A770" s="118"/>
      <c r="B770" s="232"/>
      <c r="C770" s="118"/>
      <c r="D770" s="232"/>
      <c r="E770" s="219"/>
      <c r="F770" s="232"/>
      <c r="G770" s="235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8"/>
      <c r="T770" s="8"/>
      <c r="U770" s="8"/>
      <c r="V770" s="8"/>
      <c r="W770" s="8"/>
      <c r="X770" s="8"/>
      <c r="Y770" s="8"/>
      <c r="Z770" s="8"/>
    </row>
    <row r="771" ht="12.75" customHeight="1">
      <c r="A771" s="118"/>
      <c r="B771" s="232"/>
      <c r="C771" s="118"/>
      <c r="D771" s="232"/>
      <c r="E771" s="219"/>
      <c r="F771" s="232"/>
      <c r="G771" s="235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8"/>
      <c r="T771" s="8"/>
      <c r="U771" s="8"/>
      <c r="V771" s="8"/>
      <c r="W771" s="8"/>
      <c r="X771" s="8"/>
      <c r="Y771" s="8"/>
      <c r="Z771" s="8"/>
    </row>
    <row r="772" ht="12.75" customHeight="1">
      <c r="A772" s="118"/>
      <c r="B772" s="232"/>
      <c r="C772" s="118"/>
      <c r="D772" s="232"/>
      <c r="E772" s="219"/>
      <c r="F772" s="232"/>
      <c r="G772" s="235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8"/>
      <c r="T772" s="8"/>
      <c r="U772" s="8"/>
      <c r="V772" s="8"/>
      <c r="W772" s="8"/>
      <c r="X772" s="8"/>
      <c r="Y772" s="8"/>
      <c r="Z772" s="8"/>
    </row>
    <row r="773" ht="12.75" customHeight="1">
      <c r="A773" s="118"/>
      <c r="B773" s="232"/>
      <c r="C773" s="118"/>
      <c r="D773" s="232"/>
      <c r="E773" s="219"/>
      <c r="F773" s="232"/>
      <c r="G773" s="235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8"/>
      <c r="T773" s="8"/>
      <c r="U773" s="8"/>
      <c r="V773" s="8"/>
      <c r="W773" s="8"/>
      <c r="X773" s="8"/>
      <c r="Y773" s="8"/>
      <c r="Z773" s="8"/>
    </row>
    <row r="774" ht="12.75" customHeight="1">
      <c r="A774" s="118"/>
      <c r="B774" s="232"/>
      <c r="C774" s="118"/>
      <c r="D774" s="232"/>
      <c r="E774" s="219"/>
      <c r="F774" s="232"/>
      <c r="G774" s="235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8"/>
      <c r="T774" s="8"/>
      <c r="U774" s="8"/>
      <c r="V774" s="8"/>
      <c r="W774" s="8"/>
      <c r="X774" s="8"/>
      <c r="Y774" s="8"/>
      <c r="Z774" s="8"/>
    </row>
    <row r="775" ht="12.75" customHeight="1">
      <c r="A775" s="118"/>
      <c r="B775" s="232"/>
      <c r="C775" s="118"/>
      <c r="D775" s="232"/>
      <c r="E775" s="219"/>
      <c r="F775" s="232"/>
      <c r="G775" s="235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8"/>
      <c r="T775" s="8"/>
      <c r="U775" s="8"/>
      <c r="V775" s="8"/>
      <c r="W775" s="8"/>
      <c r="X775" s="8"/>
      <c r="Y775" s="8"/>
      <c r="Z775" s="8"/>
    </row>
    <row r="776" ht="12.75" customHeight="1">
      <c r="A776" s="118"/>
      <c r="B776" s="232"/>
      <c r="C776" s="118"/>
      <c r="D776" s="232"/>
      <c r="E776" s="219"/>
      <c r="F776" s="232"/>
      <c r="G776" s="235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8"/>
      <c r="T776" s="8"/>
      <c r="U776" s="8"/>
      <c r="V776" s="8"/>
      <c r="W776" s="8"/>
      <c r="X776" s="8"/>
      <c r="Y776" s="8"/>
      <c r="Z776" s="8"/>
    </row>
    <row r="777" ht="12.75" customHeight="1">
      <c r="A777" s="118"/>
      <c r="B777" s="232"/>
      <c r="C777" s="118"/>
      <c r="D777" s="232"/>
      <c r="E777" s="219"/>
      <c r="F777" s="232"/>
      <c r="G777" s="235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8"/>
      <c r="T777" s="8"/>
      <c r="U777" s="8"/>
      <c r="V777" s="8"/>
      <c r="W777" s="8"/>
      <c r="X777" s="8"/>
      <c r="Y777" s="8"/>
      <c r="Z777" s="8"/>
    </row>
    <row r="778" ht="12.75" customHeight="1">
      <c r="A778" s="118"/>
      <c r="B778" s="232"/>
      <c r="C778" s="118"/>
      <c r="D778" s="232"/>
      <c r="E778" s="219"/>
      <c r="F778" s="232"/>
      <c r="G778" s="235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8"/>
      <c r="T778" s="8"/>
      <c r="U778" s="8"/>
      <c r="V778" s="8"/>
      <c r="W778" s="8"/>
      <c r="X778" s="8"/>
      <c r="Y778" s="8"/>
      <c r="Z778" s="8"/>
    </row>
    <row r="779" ht="12.75" customHeight="1">
      <c r="A779" s="118"/>
      <c r="B779" s="232"/>
      <c r="C779" s="118"/>
      <c r="D779" s="232"/>
      <c r="E779" s="219"/>
      <c r="F779" s="232"/>
      <c r="G779" s="235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8"/>
      <c r="T779" s="8"/>
      <c r="U779" s="8"/>
      <c r="V779" s="8"/>
      <c r="W779" s="8"/>
      <c r="X779" s="8"/>
      <c r="Y779" s="8"/>
      <c r="Z779" s="8"/>
    </row>
    <row r="780" ht="12.75" customHeight="1">
      <c r="A780" s="118"/>
      <c r="B780" s="232"/>
      <c r="C780" s="118"/>
      <c r="D780" s="232"/>
      <c r="E780" s="219"/>
      <c r="F780" s="232"/>
      <c r="G780" s="235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8"/>
      <c r="T780" s="8"/>
      <c r="U780" s="8"/>
      <c r="V780" s="8"/>
      <c r="W780" s="8"/>
      <c r="X780" s="8"/>
      <c r="Y780" s="8"/>
      <c r="Z780" s="8"/>
    </row>
    <row r="781" ht="12.75" customHeight="1">
      <c r="A781" s="118"/>
      <c r="B781" s="232"/>
      <c r="C781" s="118"/>
      <c r="D781" s="232"/>
      <c r="E781" s="219"/>
      <c r="F781" s="232"/>
      <c r="G781" s="235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8"/>
      <c r="T781" s="8"/>
      <c r="U781" s="8"/>
      <c r="V781" s="8"/>
      <c r="W781" s="8"/>
      <c r="X781" s="8"/>
      <c r="Y781" s="8"/>
      <c r="Z781" s="8"/>
    </row>
    <row r="782" ht="12.75" customHeight="1">
      <c r="A782" s="118"/>
      <c r="B782" s="232"/>
      <c r="C782" s="118"/>
      <c r="D782" s="232"/>
      <c r="E782" s="219"/>
      <c r="F782" s="232"/>
      <c r="G782" s="235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8"/>
      <c r="T782" s="8"/>
      <c r="U782" s="8"/>
      <c r="V782" s="8"/>
      <c r="W782" s="8"/>
      <c r="X782" s="8"/>
      <c r="Y782" s="8"/>
      <c r="Z782" s="8"/>
    </row>
    <row r="783" ht="12.75" customHeight="1">
      <c r="A783" s="118"/>
      <c r="B783" s="232"/>
      <c r="C783" s="118"/>
      <c r="D783" s="232"/>
      <c r="E783" s="219"/>
      <c r="F783" s="232"/>
      <c r="G783" s="235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8"/>
      <c r="T783" s="8"/>
      <c r="U783" s="8"/>
      <c r="V783" s="8"/>
      <c r="W783" s="8"/>
      <c r="X783" s="8"/>
      <c r="Y783" s="8"/>
      <c r="Z783" s="8"/>
    </row>
    <row r="784" ht="12.75" customHeight="1">
      <c r="A784" s="118"/>
      <c r="B784" s="232"/>
      <c r="C784" s="118"/>
      <c r="D784" s="232"/>
      <c r="E784" s="219"/>
      <c r="F784" s="232"/>
      <c r="G784" s="235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8"/>
      <c r="T784" s="8"/>
      <c r="U784" s="8"/>
      <c r="V784" s="8"/>
      <c r="W784" s="8"/>
      <c r="X784" s="8"/>
      <c r="Y784" s="8"/>
      <c r="Z784" s="8"/>
    </row>
    <row r="785" ht="12.75" customHeight="1">
      <c r="A785" s="118"/>
      <c r="B785" s="232"/>
      <c r="C785" s="118"/>
      <c r="D785" s="232"/>
      <c r="E785" s="219"/>
      <c r="F785" s="232"/>
      <c r="G785" s="235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8"/>
      <c r="T785" s="8"/>
      <c r="U785" s="8"/>
      <c r="V785" s="8"/>
      <c r="W785" s="8"/>
      <c r="X785" s="8"/>
      <c r="Y785" s="8"/>
      <c r="Z785" s="8"/>
    </row>
    <row r="786" ht="12.75" customHeight="1">
      <c r="A786" s="118"/>
      <c r="B786" s="232"/>
      <c r="C786" s="118"/>
      <c r="D786" s="232"/>
      <c r="E786" s="219"/>
      <c r="F786" s="232"/>
      <c r="G786" s="235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8"/>
      <c r="T786" s="8"/>
      <c r="U786" s="8"/>
      <c r="V786" s="8"/>
      <c r="W786" s="8"/>
      <c r="X786" s="8"/>
      <c r="Y786" s="8"/>
      <c r="Z786" s="8"/>
    </row>
    <row r="787" ht="12.75" customHeight="1">
      <c r="A787" s="118"/>
      <c r="B787" s="232"/>
      <c r="C787" s="118"/>
      <c r="D787" s="232"/>
      <c r="E787" s="219"/>
      <c r="F787" s="232"/>
      <c r="G787" s="235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8"/>
      <c r="T787" s="8"/>
      <c r="U787" s="8"/>
      <c r="V787" s="8"/>
      <c r="W787" s="8"/>
      <c r="X787" s="8"/>
      <c r="Y787" s="8"/>
      <c r="Z787" s="8"/>
    </row>
    <row r="788" ht="12.75" customHeight="1">
      <c r="A788" s="118"/>
      <c r="B788" s="232"/>
      <c r="C788" s="118"/>
      <c r="D788" s="232"/>
      <c r="E788" s="219"/>
      <c r="F788" s="232"/>
      <c r="G788" s="235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8"/>
      <c r="T788" s="8"/>
      <c r="U788" s="8"/>
      <c r="V788" s="8"/>
      <c r="W788" s="8"/>
      <c r="X788" s="8"/>
      <c r="Y788" s="8"/>
      <c r="Z788" s="8"/>
    </row>
    <row r="789" ht="12.75" customHeight="1">
      <c r="A789" s="118"/>
      <c r="B789" s="232"/>
      <c r="C789" s="118"/>
      <c r="D789" s="232"/>
      <c r="E789" s="219"/>
      <c r="F789" s="232"/>
      <c r="G789" s="235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8"/>
      <c r="T789" s="8"/>
      <c r="U789" s="8"/>
      <c r="V789" s="8"/>
      <c r="W789" s="8"/>
      <c r="X789" s="8"/>
      <c r="Y789" s="8"/>
      <c r="Z789" s="8"/>
    </row>
    <row r="790" ht="12.75" customHeight="1">
      <c r="A790" s="118"/>
      <c r="B790" s="232"/>
      <c r="C790" s="118"/>
      <c r="D790" s="232"/>
      <c r="E790" s="219"/>
      <c r="F790" s="232"/>
      <c r="G790" s="235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8"/>
      <c r="T790" s="8"/>
      <c r="U790" s="8"/>
      <c r="V790" s="8"/>
      <c r="W790" s="8"/>
      <c r="X790" s="8"/>
      <c r="Y790" s="8"/>
      <c r="Z790" s="8"/>
    </row>
    <row r="791" ht="12.75" customHeight="1">
      <c r="A791" s="118"/>
      <c r="B791" s="232"/>
      <c r="C791" s="118"/>
      <c r="D791" s="232"/>
      <c r="E791" s="219"/>
      <c r="F791" s="232"/>
      <c r="G791" s="235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8"/>
      <c r="T791" s="8"/>
      <c r="U791" s="8"/>
      <c r="V791" s="8"/>
      <c r="W791" s="8"/>
      <c r="X791" s="8"/>
      <c r="Y791" s="8"/>
      <c r="Z791" s="8"/>
    </row>
    <row r="792" ht="12.75" customHeight="1">
      <c r="A792" s="118"/>
      <c r="B792" s="232"/>
      <c r="C792" s="118"/>
      <c r="D792" s="232"/>
      <c r="E792" s="219"/>
      <c r="F792" s="232"/>
      <c r="G792" s="235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8"/>
      <c r="T792" s="8"/>
      <c r="U792" s="8"/>
      <c r="V792" s="8"/>
      <c r="W792" s="8"/>
      <c r="X792" s="8"/>
      <c r="Y792" s="8"/>
      <c r="Z792" s="8"/>
    </row>
    <row r="793" ht="12.75" customHeight="1">
      <c r="A793" s="118"/>
      <c r="B793" s="232"/>
      <c r="C793" s="118"/>
      <c r="D793" s="232"/>
      <c r="E793" s="219"/>
      <c r="F793" s="232"/>
      <c r="G793" s="235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8"/>
      <c r="T793" s="8"/>
      <c r="U793" s="8"/>
      <c r="V793" s="8"/>
      <c r="W793" s="8"/>
      <c r="X793" s="8"/>
      <c r="Y793" s="8"/>
      <c r="Z793" s="8"/>
    </row>
    <row r="794" ht="12.75" customHeight="1">
      <c r="A794" s="118"/>
      <c r="B794" s="232"/>
      <c r="C794" s="118"/>
      <c r="D794" s="232"/>
      <c r="E794" s="219"/>
      <c r="F794" s="232"/>
      <c r="G794" s="235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8"/>
      <c r="T794" s="8"/>
      <c r="U794" s="8"/>
      <c r="V794" s="8"/>
      <c r="W794" s="8"/>
      <c r="X794" s="8"/>
      <c r="Y794" s="8"/>
      <c r="Z794" s="8"/>
    </row>
    <row r="795" ht="12.75" customHeight="1">
      <c r="A795" s="118"/>
      <c r="B795" s="232"/>
      <c r="C795" s="118"/>
      <c r="D795" s="232"/>
      <c r="E795" s="219"/>
      <c r="F795" s="232"/>
      <c r="G795" s="235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8"/>
      <c r="T795" s="8"/>
      <c r="U795" s="8"/>
      <c r="V795" s="8"/>
      <c r="W795" s="8"/>
      <c r="X795" s="8"/>
      <c r="Y795" s="8"/>
      <c r="Z795" s="8"/>
    </row>
    <row r="796" ht="12.75" customHeight="1">
      <c r="A796" s="118"/>
      <c r="B796" s="232"/>
      <c r="C796" s="118"/>
      <c r="D796" s="232"/>
      <c r="E796" s="219"/>
      <c r="F796" s="232"/>
      <c r="G796" s="235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8"/>
      <c r="T796" s="8"/>
      <c r="U796" s="8"/>
      <c r="V796" s="8"/>
      <c r="W796" s="8"/>
      <c r="X796" s="8"/>
      <c r="Y796" s="8"/>
      <c r="Z796" s="8"/>
    </row>
    <row r="797" ht="12.75" customHeight="1">
      <c r="A797" s="118"/>
      <c r="B797" s="232"/>
      <c r="C797" s="118"/>
      <c r="D797" s="232"/>
      <c r="E797" s="219"/>
      <c r="F797" s="232"/>
      <c r="G797" s="235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8"/>
      <c r="T797" s="8"/>
      <c r="U797" s="8"/>
      <c r="V797" s="8"/>
      <c r="W797" s="8"/>
      <c r="X797" s="8"/>
      <c r="Y797" s="8"/>
      <c r="Z797" s="8"/>
    </row>
    <row r="798" ht="12.75" customHeight="1">
      <c r="A798" s="118"/>
      <c r="B798" s="232"/>
      <c r="C798" s="118"/>
      <c r="D798" s="232"/>
      <c r="E798" s="219"/>
      <c r="F798" s="232"/>
      <c r="G798" s="235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8"/>
      <c r="T798" s="8"/>
      <c r="U798" s="8"/>
      <c r="V798" s="8"/>
      <c r="W798" s="8"/>
      <c r="X798" s="8"/>
      <c r="Y798" s="8"/>
      <c r="Z798" s="8"/>
    </row>
    <row r="799" ht="12.75" customHeight="1">
      <c r="A799" s="118"/>
      <c r="B799" s="232"/>
      <c r="C799" s="118"/>
      <c r="D799" s="232"/>
      <c r="E799" s="219"/>
      <c r="F799" s="232"/>
      <c r="G799" s="235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8"/>
      <c r="T799" s="8"/>
      <c r="U799" s="8"/>
      <c r="V799" s="8"/>
      <c r="W799" s="8"/>
      <c r="X799" s="8"/>
      <c r="Y799" s="8"/>
      <c r="Z799" s="8"/>
    </row>
    <row r="800" ht="12.75" customHeight="1">
      <c r="A800" s="118"/>
      <c r="B800" s="232"/>
      <c r="C800" s="118"/>
      <c r="D800" s="232"/>
      <c r="E800" s="219"/>
      <c r="F800" s="232"/>
      <c r="G800" s="235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8"/>
      <c r="T800" s="8"/>
      <c r="U800" s="8"/>
      <c r="V800" s="8"/>
      <c r="W800" s="8"/>
      <c r="X800" s="8"/>
      <c r="Y800" s="8"/>
      <c r="Z800" s="8"/>
    </row>
    <row r="801" ht="12.75" customHeight="1">
      <c r="A801" s="118"/>
      <c r="B801" s="232"/>
      <c r="C801" s="118"/>
      <c r="D801" s="232"/>
      <c r="E801" s="219"/>
      <c r="F801" s="232"/>
      <c r="G801" s="235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8"/>
      <c r="T801" s="8"/>
      <c r="U801" s="8"/>
      <c r="V801" s="8"/>
      <c r="W801" s="8"/>
      <c r="X801" s="8"/>
      <c r="Y801" s="8"/>
      <c r="Z801" s="8"/>
    </row>
    <row r="802" ht="12.75" customHeight="1">
      <c r="A802" s="118"/>
      <c r="B802" s="232"/>
      <c r="C802" s="118"/>
      <c r="D802" s="232"/>
      <c r="E802" s="219"/>
      <c r="F802" s="232"/>
      <c r="G802" s="235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8"/>
      <c r="T802" s="8"/>
      <c r="U802" s="8"/>
      <c r="V802" s="8"/>
      <c r="W802" s="8"/>
      <c r="X802" s="8"/>
      <c r="Y802" s="8"/>
      <c r="Z802" s="8"/>
    </row>
    <row r="803" ht="12.75" customHeight="1">
      <c r="A803" s="118"/>
      <c r="B803" s="232"/>
      <c r="C803" s="118"/>
      <c r="D803" s="232"/>
      <c r="E803" s="219"/>
      <c r="F803" s="232"/>
      <c r="G803" s="235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8"/>
      <c r="T803" s="8"/>
      <c r="U803" s="8"/>
      <c r="V803" s="8"/>
      <c r="W803" s="8"/>
      <c r="X803" s="8"/>
      <c r="Y803" s="8"/>
      <c r="Z803" s="8"/>
    </row>
    <row r="804" ht="12.75" customHeight="1">
      <c r="A804" s="118"/>
      <c r="B804" s="232"/>
      <c r="C804" s="118"/>
      <c r="D804" s="232"/>
      <c r="E804" s="219"/>
      <c r="F804" s="232"/>
      <c r="G804" s="235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8"/>
      <c r="T804" s="8"/>
      <c r="U804" s="8"/>
      <c r="V804" s="8"/>
      <c r="W804" s="8"/>
      <c r="X804" s="8"/>
      <c r="Y804" s="8"/>
      <c r="Z804" s="8"/>
    </row>
    <row r="805" ht="12.75" customHeight="1">
      <c r="A805" s="118"/>
      <c r="B805" s="232"/>
      <c r="C805" s="118"/>
      <c r="D805" s="232"/>
      <c r="E805" s="219"/>
      <c r="F805" s="232"/>
      <c r="G805" s="235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8"/>
      <c r="T805" s="8"/>
      <c r="U805" s="8"/>
      <c r="V805" s="8"/>
      <c r="W805" s="8"/>
      <c r="X805" s="8"/>
      <c r="Y805" s="8"/>
      <c r="Z805" s="8"/>
    </row>
    <row r="806" ht="12.75" customHeight="1">
      <c r="A806" s="118"/>
      <c r="B806" s="232"/>
      <c r="C806" s="118"/>
      <c r="D806" s="232"/>
      <c r="E806" s="219"/>
      <c r="F806" s="232"/>
      <c r="G806" s="235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8"/>
      <c r="T806" s="8"/>
      <c r="U806" s="8"/>
      <c r="V806" s="8"/>
      <c r="W806" s="8"/>
      <c r="X806" s="8"/>
      <c r="Y806" s="8"/>
      <c r="Z806" s="8"/>
    </row>
    <row r="807" ht="12.75" customHeight="1">
      <c r="A807" s="118"/>
      <c r="B807" s="232"/>
      <c r="C807" s="118"/>
      <c r="D807" s="232"/>
      <c r="E807" s="219"/>
      <c r="F807" s="232"/>
      <c r="G807" s="235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8"/>
      <c r="T807" s="8"/>
      <c r="U807" s="8"/>
      <c r="V807" s="8"/>
      <c r="W807" s="8"/>
      <c r="X807" s="8"/>
      <c r="Y807" s="8"/>
      <c r="Z807" s="8"/>
    </row>
    <row r="808" ht="12.75" customHeight="1">
      <c r="A808" s="118"/>
      <c r="B808" s="232"/>
      <c r="C808" s="118"/>
      <c r="D808" s="232"/>
      <c r="E808" s="219"/>
      <c r="F808" s="232"/>
      <c r="G808" s="235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8"/>
      <c r="T808" s="8"/>
      <c r="U808" s="8"/>
      <c r="V808" s="8"/>
      <c r="W808" s="8"/>
      <c r="X808" s="8"/>
      <c r="Y808" s="8"/>
      <c r="Z808" s="8"/>
    </row>
    <row r="809" ht="12.75" customHeight="1">
      <c r="A809" s="118"/>
      <c r="B809" s="232"/>
      <c r="C809" s="118"/>
      <c r="D809" s="232"/>
      <c r="E809" s="219"/>
      <c r="F809" s="232"/>
      <c r="G809" s="235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8"/>
      <c r="T809" s="8"/>
      <c r="U809" s="8"/>
      <c r="V809" s="8"/>
      <c r="W809" s="8"/>
      <c r="X809" s="8"/>
      <c r="Y809" s="8"/>
      <c r="Z809" s="8"/>
    </row>
    <row r="810" ht="12.75" customHeight="1">
      <c r="A810" s="118"/>
      <c r="B810" s="232"/>
      <c r="C810" s="118"/>
      <c r="D810" s="232"/>
      <c r="E810" s="219"/>
      <c r="F810" s="232"/>
      <c r="G810" s="235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8"/>
      <c r="T810" s="8"/>
      <c r="U810" s="8"/>
      <c r="V810" s="8"/>
      <c r="W810" s="8"/>
      <c r="X810" s="8"/>
      <c r="Y810" s="8"/>
      <c r="Z810" s="8"/>
    </row>
    <row r="811" ht="12.75" customHeight="1">
      <c r="A811" s="118"/>
      <c r="B811" s="232"/>
      <c r="C811" s="118"/>
      <c r="D811" s="232"/>
      <c r="E811" s="219"/>
      <c r="F811" s="232"/>
      <c r="G811" s="235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8"/>
      <c r="T811" s="8"/>
      <c r="U811" s="8"/>
      <c r="V811" s="8"/>
      <c r="W811" s="8"/>
      <c r="X811" s="8"/>
      <c r="Y811" s="8"/>
      <c r="Z811" s="8"/>
    </row>
    <row r="812" ht="12.75" customHeight="1">
      <c r="A812" s="118"/>
      <c r="B812" s="232"/>
      <c r="C812" s="118"/>
      <c r="D812" s="232"/>
      <c r="E812" s="219"/>
      <c r="F812" s="232"/>
      <c r="G812" s="235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8"/>
      <c r="T812" s="8"/>
      <c r="U812" s="8"/>
      <c r="V812" s="8"/>
      <c r="W812" s="8"/>
      <c r="X812" s="8"/>
      <c r="Y812" s="8"/>
      <c r="Z812" s="8"/>
    </row>
    <row r="813" ht="12.75" customHeight="1">
      <c r="A813" s="118"/>
      <c r="B813" s="232"/>
      <c r="C813" s="118"/>
      <c r="D813" s="232"/>
      <c r="E813" s="219"/>
      <c r="F813" s="232"/>
      <c r="G813" s="235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8"/>
      <c r="T813" s="8"/>
      <c r="U813" s="8"/>
      <c r="V813" s="8"/>
      <c r="W813" s="8"/>
      <c r="X813" s="8"/>
      <c r="Y813" s="8"/>
      <c r="Z813" s="8"/>
    </row>
    <row r="814" ht="12.75" customHeight="1">
      <c r="A814" s="118"/>
      <c r="B814" s="232"/>
      <c r="C814" s="118"/>
      <c r="D814" s="232"/>
      <c r="E814" s="219"/>
      <c r="F814" s="232"/>
      <c r="G814" s="235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8"/>
      <c r="T814" s="8"/>
      <c r="U814" s="8"/>
      <c r="V814" s="8"/>
      <c r="W814" s="8"/>
      <c r="X814" s="8"/>
      <c r="Y814" s="8"/>
      <c r="Z814" s="8"/>
    </row>
    <row r="815" ht="12.75" customHeight="1">
      <c r="A815" s="118"/>
      <c r="B815" s="232"/>
      <c r="C815" s="118"/>
      <c r="D815" s="232"/>
      <c r="E815" s="219"/>
      <c r="F815" s="232"/>
      <c r="G815" s="235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8"/>
      <c r="T815" s="8"/>
      <c r="U815" s="8"/>
      <c r="V815" s="8"/>
      <c r="W815" s="8"/>
      <c r="X815" s="8"/>
      <c r="Y815" s="8"/>
      <c r="Z815" s="8"/>
    </row>
    <row r="816" ht="12.75" customHeight="1">
      <c r="A816" s="118"/>
      <c r="B816" s="232"/>
      <c r="C816" s="118"/>
      <c r="D816" s="232"/>
      <c r="E816" s="219"/>
      <c r="F816" s="232"/>
      <c r="G816" s="235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8"/>
      <c r="T816" s="8"/>
      <c r="U816" s="8"/>
      <c r="V816" s="8"/>
      <c r="W816" s="8"/>
      <c r="X816" s="8"/>
      <c r="Y816" s="8"/>
      <c r="Z816" s="8"/>
    </row>
    <row r="817" ht="12.75" customHeight="1">
      <c r="A817" s="118"/>
      <c r="B817" s="232"/>
      <c r="C817" s="118"/>
      <c r="D817" s="232"/>
      <c r="E817" s="219"/>
      <c r="F817" s="232"/>
      <c r="G817" s="235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8"/>
      <c r="T817" s="8"/>
      <c r="U817" s="8"/>
      <c r="V817" s="8"/>
      <c r="W817" s="8"/>
      <c r="X817" s="8"/>
      <c r="Y817" s="8"/>
      <c r="Z817" s="8"/>
    </row>
    <row r="818" ht="12.75" customHeight="1">
      <c r="A818" s="118"/>
      <c r="B818" s="232"/>
      <c r="C818" s="118"/>
      <c r="D818" s="232"/>
      <c r="E818" s="219"/>
      <c r="F818" s="232"/>
      <c r="G818" s="235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8"/>
      <c r="T818" s="8"/>
      <c r="U818" s="8"/>
      <c r="V818" s="8"/>
      <c r="W818" s="8"/>
      <c r="X818" s="8"/>
      <c r="Y818" s="8"/>
      <c r="Z818" s="8"/>
    </row>
    <row r="819" ht="12.75" customHeight="1">
      <c r="A819" s="118"/>
      <c r="B819" s="232"/>
      <c r="C819" s="118"/>
      <c r="D819" s="232"/>
      <c r="E819" s="219"/>
      <c r="F819" s="232"/>
      <c r="G819" s="235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8"/>
      <c r="T819" s="8"/>
      <c r="U819" s="8"/>
      <c r="V819" s="8"/>
      <c r="W819" s="8"/>
      <c r="X819" s="8"/>
      <c r="Y819" s="8"/>
      <c r="Z819" s="8"/>
    </row>
    <row r="820" ht="12.75" customHeight="1">
      <c r="A820" s="118"/>
      <c r="B820" s="232"/>
      <c r="C820" s="118"/>
      <c r="D820" s="232"/>
      <c r="E820" s="219"/>
      <c r="F820" s="232"/>
      <c r="G820" s="235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8"/>
      <c r="T820" s="8"/>
      <c r="U820" s="8"/>
      <c r="V820" s="8"/>
      <c r="W820" s="8"/>
      <c r="X820" s="8"/>
      <c r="Y820" s="8"/>
      <c r="Z820" s="8"/>
    </row>
    <row r="821" ht="12.75" customHeight="1">
      <c r="A821" s="118"/>
      <c r="B821" s="232"/>
      <c r="C821" s="118"/>
      <c r="D821" s="232"/>
      <c r="E821" s="219"/>
      <c r="F821" s="232"/>
      <c r="G821" s="235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8"/>
      <c r="T821" s="8"/>
      <c r="U821" s="8"/>
      <c r="V821" s="8"/>
      <c r="W821" s="8"/>
      <c r="X821" s="8"/>
      <c r="Y821" s="8"/>
      <c r="Z821" s="8"/>
    </row>
    <row r="822" ht="12.75" customHeight="1">
      <c r="A822" s="118"/>
      <c r="B822" s="232"/>
      <c r="C822" s="118"/>
      <c r="D822" s="232"/>
      <c r="E822" s="219"/>
      <c r="F822" s="232"/>
      <c r="G822" s="235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8"/>
      <c r="T822" s="8"/>
      <c r="U822" s="8"/>
      <c r="V822" s="8"/>
      <c r="W822" s="8"/>
      <c r="X822" s="8"/>
      <c r="Y822" s="8"/>
      <c r="Z822" s="8"/>
    </row>
    <row r="823" ht="12.75" customHeight="1">
      <c r="A823" s="118"/>
      <c r="B823" s="232"/>
      <c r="C823" s="118"/>
      <c r="D823" s="232"/>
      <c r="E823" s="219"/>
      <c r="F823" s="232"/>
      <c r="G823" s="235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8"/>
      <c r="T823" s="8"/>
      <c r="U823" s="8"/>
      <c r="V823" s="8"/>
      <c r="W823" s="8"/>
      <c r="X823" s="8"/>
      <c r="Y823" s="8"/>
      <c r="Z823" s="8"/>
    </row>
    <row r="824" ht="12.75" customHeight="1">
      <c r="A824" s="118"/>
      <c r="B824" s="232"/>
      <c r="C824" s="118"/>
      <c r="D824" s="232"/>
      <c r="E824" s="219"/>
      <c r="F824" s="232"/>
      <c r="G824" s="235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8"/>
      <c r="T824" s="8"/>
      <c r="U824" s="8"/>
      <c r="V824" s="8"/>
      <c r="W824" s="8"/>
      <c r="X824" s="8"/>
      <c r="Y824" s="8"/>
      <c r="Z824" s="8"/>
    </row>
    <row r="825" ht="12.75" customHeight="1">
      <c r="A825" s="118"/>
      <c r="B825" s="232"/>
      <c r="C825" s="118"/>
      <c r="D825" s="232"/>
      <c r="E825" s="219"/>
      <c r="F825" s="232"/>
      <c r="G825" s="235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8"/>
      <c r="T825" s="8"/>
      <c r="U825" s="8"/>
      <c r="V825" s="8"/>
      <c r="W825" s="8"/>
      <c r="X825" s="8"/>
      <c r="Y825" s="8"/>
      <c r="Z825" s="8"/>
    </row>
    <row r="826" ht="12.75" customHeight="1">
      <c r="A826" s="118"/>
      <c r="B826" s="232"/>
      <c r="C826" s="118"/>
      <c r="D826" s="232"/>
      <c r="E826" s="219"/>
      <c r="F826" s="232"/>
      <c r="G826" s="235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8"/>
      <c r="T826" s="8"/>
      <c r="U826" s="8"/>
      <c r="V826" s="8"/>
      <c r="W826" s="8"/>
      <c r="X826" s="8"/>
      <c r="Y826" s="8"/>
      <c r="Z826" s="8"/>
    </row>
    <row r="827" ht="12.75" customHeight="1">
      <c r="A827" s="118"/>
      <c r="B827" s="232"/>
      <c r="C827" s="118"/>
      <c r="D827" s="232"/>
      <c r="E827" s="219"/>
      <c r="F827" s="232"/>
      <c r="G827" s="235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8"/>
      <c r="T827" s="8"/>
      <c r="U827" s="8"/>
      <c r="V827" s="8"/>
      <c r="W827" s="8"/>
      <c r="X827" s="8"/>
      <c r="Y827" s="8"/>
      <c r="Z827" s="8"/>
    </row>
    <row r="828" ht="12.75" customHeight="1">
      <c r="A828" s="118"/>
      <c r="B828" s="232"/>
      <c r="C828" s="118"/>
      <c r="D828" s="232"/>
      <c r="E828" s="219"/>
      <c r="F828" s="232"/>
      <c r="G828" s="235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8"/>
      <c r="T828" s="8"/>
      <c r="U828" s="8"/>
      <c r="V828" s="8"/>
      <c r="W828" s="8"/>
      <c r="X828" s="8"/>
      <c r="Y828" s="8"/>
      <c r="Z828" s="8"/>
    </row>
    <row r="829" ht="12.75" customHeight="1">
      <c r="A829" s="118"/>
      <c r="B829" s="232"/>
      <c r="C829" s="118"/>
      <c r="D829" s="232"/>
      <c r="E829" s="219"/>
      <c r="F829" s="232"/>
      <c r="G829" s="235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8"/>
      <c r="T829" s="8"/>
      <c r="U829" s="8"/>
      <c r="V829" s="8"/>
      <c r="W829" s="8"/>
      <c r="X829" s="8"/>
      <c r="Y829" s="8"/>
      <c r="Z829" s="8"/>
    </row>
    <row r="830" ht="12.75" customHeight="1">
      <c r="A830" s="118"/>
      <c r="B830" s="232"/>
      <c r="C830" s="118"/>
      <c r="D830" s="232"/>
      <c r="E830" s="219"/>
      <c r="F830" s="232"/>
      <c r="G830" s="235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8"/>
      <c r="T830" s="8"/>
      <c r="U830" s="8"/>
      <c r="V830" s="8"/>
      <c r="W830" s="8"/>
      <c r="X830" s="8"/>
      <c r="Y830" s="8"/>
      <c r="Z830" s="8"/>
    </row>
    <row r="831" ht="12.75" customHeight="1">
      <c r="A831" s="118"/>
      <c r="B831" s="232"/>
      <c r="C831" s="118"/>
      <c r="D831" s="232"/>
      <c r="E831" s="219"/>
      <c r="F831" s="232"/>
      <c r="G831" s="235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8"/>
      <c r="T831" s="8"/>
      <c r="U831" s="8"/>
      <c r="V831" s="8"/>
      <c r="W831" s="8"/>
      <c r="X831" s="8"/>
      <c r="Y831" s="8"/>
      <c r="Z831" s="8"/>
    </row>
    <row r="832" ht="12.75" customHeight="1">
      <c r="A832" s="118"/>
      <c r="B832" s="232"/>
      <c r="C832" s="118"/>
      <c r="D832" s="232"/>
      <c r="E832" s="219"/>
      <c r="F832" s="232"/>
      <c r="G832" s="235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8"/>
      <c r="T832" s="8"/>
      <c r="U832" s="8"/>
      <c r="V832" s="8"/>
      <c r="W832" s="8"/>
      <c r="X832" s="8"/>
      <c r="Y832" s="8"/>
      <c r="Z832" s="8"/>
    </row>
    <row r="833" ht="12.75" customHeight="1">
      <c r="A833" s="118"/>
      <c r="B833" s="232"/>
      <c r="C833" s="118"/>
      <c r="D833" s="232"/>
      <c r="E833" s="219"/>
      <c r="F833" s="232"/>
      <c r="G833" s="235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8"/>
      <c r="T833" s="8"/>
      <c r="U833" s="8"/>
      <c r="V833" s="8"/>
      <c r="W833" s="8"/>
      <c r="X833" s="8"/>
      <c r="Y833" s="8"/>
      <c r="Z833" s="8"/>
    </row>
    <row r="834" ht="12.75" customHeight="1">
      <c r="A834" s="118"/>
      <c r="B834" s="232"/>
      <c r="C834" s="118"/>
      <c r="D834" s="232"/>
      <c r="E834" s="219"/>
      <c r="F834" s="232"/>
      <c r="G834" s="235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8"/>
      <c r="T834" s="8"/>
      <c r="U834" s="8"/>
      <c r="V834" s="8"/>
      <c r="W834" s="8"/>
      <c r="X834" s="8"/>
      <c r="Y834" s="8"/>
      <c r="Z834" s="8"/>
    </row>
    <row r="835" ht="12.75" customHeight="1">
      <c r="A835" s="118"/>
      <c r="B835" s="232"/>
      <c r="C835" s="118"/>
      <c r="D835" s="232"/>
      <c r="E835" s="219"/>
      <c r="F835" s="232"/>
      <c r="G835" s="235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8"/>
      <c r="T835" s="8"/>
      <c r="U835" s="8"/>
      <c r="V835" s="8"/>
      <c r="W835" s="8"/>
      <c r="X835" s="8"/>
      <c r="Y835" s="8"/>
      <c r="Z835" s="8"/>
    </row>
    <row r="836" ht="12.75" customHeight="1">
      <c r="A836" s="118"/>
      <c r="B836" s="232"/>
      <c r="C836" s="118"/>
      <c r="D836" s="232"/>
      <c r="E836" s="219"/>
      <c r="F836" s="232"/>
      <c r="G836" s="235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8"/>
      <c r="T836" s="8"/>
      <c r="U836" s="8"/>
      <c r="V836" s="8"/>
      <c r="W836" s="8"/>
      <c r="X836" s="8"/>
      <c r="Y836" s="8"/>
      <c r="Z836" s="8"/>
    </row>
    <row r="837" ht="12.75" customHeight="1">
      <c r="A837" s="118"/>
      <c r="B837" s="232"/>
      <c r="C837" s="118"/>
      <c r="D837" s="232"/>
      <c r="E837" s="219"/>
      <c r="F837" s="232"/>
      <c r="G837" s="235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8"/>
      <c r="T837" s="8"/>
      <c r="U837" s="8"/>
      <c r="V837" s="8"/>
      <c r="W837" s="8"/>
      <c r="X837" s="8"/>
      <c r="Y837" s="8"/>
      <c r="Z837" s="8"/>
    </row>
    <row r="838" ht="12.75" customHeight="1">
      <c r="A838" s="118"/>
      <c r="B838" s="232"/>
      <c r="C838" s="118"/>
      <c r="D838" s="232"/>
      <c r="E838" s="219"/>
      <c r="F838" s="232"/>
      <c r="G838" s="235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8"/>
      <c r="T838" s="8"/>
      <c r="U838" s="8"/>
      <c r="V838" s="8"/>
      <c r="W838" s="8"/>
      <c r="X838" s="8"/>
      <c r="Y838" s="8"/>
      <c r="Z838" s="8"/>
    </row>
    <row r="839" ht="12.75" customHeight="1">
      <c r="A839" s="118"/>
      <c r="B839" s="232"/>
      <c r="C839" s="118"/>
      <c r="D839" s="232"/>
      <c r="E839" s="219"/>
      <c r="F839" s="232"/>
      <c r="G839" s="235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8"/>
      <c r="T839" s="8"/>
      <c r="U839" s="8"/>
      <c r="V839" s="8"/>
      <c r="W839" s="8"/>
      <c r="X839" s="8"/>
      <c r="Y839" s="8"/>
      <c r="Z839" s="8"/>
    </row>
    <row r="840" ht="12.75" customHeight="1">
      <c r="A840" s="118"/>
      <c r="B840" s="232"/>
      <c r="C840" s="118"/>
      <c r="D840" s="232"/>
      <c r="E840" s="219"/>
      <c r="F840" s="232"/>
      <c r="G840" s="235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8"/>
      <c r="T840" s="8"/>
      <c r="U840" s="8"/>
      <c r="V840" s="8"/>
      <c r="W840" s="8"/>
      <c r="X840" s="8"/>
      <c r="Y840" s="8"/>
      <c r="Z840" s="8"/>
    </row>
    <row r="841" ht="12.75" customHeight="1">
      <c r="A841" s="118"/>
      <c r="B841" s="232"/>
      <c r="C841" s="118"/>
      <c r="D841" s="232"/>
      <c r="E841" s="219"/>
      <c r="F841" s="232"/>
      <c r="G841" s="235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8"/>
      <c r="T841" s="8"/>
      <c r="U841" s="8"/>
      <c r="V841" s="8"/>
      <c r="W841" s="8"/>
      <c r="X841" s="8"/>
      <c r="Y841" s="8"/>
      <c r="Z841" s="8"/>
    </row>
    <row r="842" ht="12.75" customHeight="1">
      <c r="A842" s="118"/>
      <c r="B842" s="232"/>
      <c r="C842" s="118"/>
      <c r="D842" s="232"/>
      <c r="E842" s="219"/>
      <c r="F842" s="232"/>
      <c r="G842" s="235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8"/>
      <c r="T842" s="8"/>
      <c r="U842" s="8"/>
      <c r="V842" s="8"/>
      <c r="W842" s="8"/>
      <c r="X842" s="8"/>
      <c r="Y842" s="8"/>
      <c r="Z842" s="8"/>
    </row>
    <row r="843" ht="12.75" customHeight="1">
      <c r="A843" s="118"/>
      <c r="B843" s="232"/>
      <c r="C843" s="118"/>
      <c r="D843" s="232"/>
      <c r="E843" s="219"/>
      <c r="F843" s="232"/>
      <c r="G843" s="235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8"/>
      <c r="T843" s="8"/>
      <c r="U843" s="8"/>
      <c r="V843" s="8"/>
      <c r="W843" s="8"/>
      <c r="X843" s="8"/>
      <c r="Y843" s="8"/>
      <c r="Z843" s="8"/>
    </row>
    <row r="844" ht="12.75" customHeight="1">
      <c r="A844" s="118"/>
      <c r="B844" s="232"/>
      <c r="C844" s="118"/>
      <c r="D844" s="232"/>
      <c r="E844" s="219"/>
      <c r="F844" s="232"/>
      <c r="G844" s="235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8"/>
      <c r="T844" s="8"/>
      <c r="U844" s="8"/>
      <c r="V844" s="8"/>
      <c r="W844" s="8"/>
      <c r="X844" s="8"/>
      <c r="Y844" s="8"/>
      <c r="Z844" s="8"/>
    </row>
    <row r="845" ht="12.75" customHeight="1">
      <c r="A845" s="118"/>
      <c r="B845" s="232"/>
      <c r="C845" s="118"/>
      <c r="D845" s="232"/>
      <c r="E845" s="219"/>
      <c r="F845" s="232"/>
      <c r="G845" s="235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8"/>
      <c r="T845" s="8"/>
      <c r="U845" s="8"/>
      <c r="V845" s="8"/>
      <c r="W845" s="8"/>
      <c r="X845" s="8"/>
      <c r="Y845" s="8"/>
      <c r="Z845" s="8"/>
    </row>
    <row r="846" ht="12.75" customHeight="1">
      <c r="A846" s="118"/>
      <c r="B846" s="232"/>
      <c r="C846" s="118"/>
      <c r="D846" s="232"/>
      <c r="E846" s="219"/>
      <c r="F846" s="232"/>
      <c r="G846" s="235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8"/>
      <c r="T846" s="8"/>
      <c r="U846" s="8"/>
      <c r="V846" s="8"/>
      <c r="W846" s="8"/>
      <c r="X846" s="8"/>
      <c r="Y846" s="8"/>
      <c r="Z846" s="8"/>
    </row>
    <row r="847" ht="12.75" customHeight="1">
      <c r="A847" s="118"/>
      <c r="B847" s="232"/>
      <c r="C847" s="118"/>
      <c r="D847" s="232"/>
      <c r="E847" s="219"/>
      <c r="F847" s="232"/>
      <c r="G847" s="235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8"/>
      <c r="T847" s="8"/>
      <c r="U847" s="8"/>
      <c r="V847" s="8"/>
      <c r="W847" s="8"/>
      <c r="X847" s="8"/>
      <c r="Y847" s="8"/>
      <c r="Z847" s="8"/>
    </row>
    <row r="848" ht="12.75" customHeight="1">
      <c r="A848" s="118"/>
      <c r="B848" s="232"/>
      <c r="C848" s="118"/>
      <c r="D848" s="232"/>
      <c r="E848" s="219"/>
      <c r="F848" s="232"/>
      <c r="G848" s="235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8"/>
      <c r="T848" s="8"/>
      <c r="U848" s="8"/>
      <c r="V848" s="8"/>
      <c r="W848" s="8"/>
      <c r="X848" s="8"/>
      <c r="Y848" s="8"/>
      <c r="Z848" s="8"/>
    </row>
    <row r="849" ht="12.75" customHeight="1">
      <c r="A849" s="118"/>
      <c r="B849" s="232"/>
      <c r="C849" s="118"/>
      <c r="D849" s="232"/>
      <c r="E849" s="219"/>
      <c r="F849" s="232"/>
      <c r="G849" s="235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8"/>
      <c r="T849" s="8"/>
      <c r="U849" s="8"/>
      <c r="V849" s="8"/>
      <c r="W849" s="8"/>
      <c r="X849" s="8"/>
      <c r="Y849" s="8"/>
      <c r="Z849" s="8"/>
    </row>
    <row r="850" ht="12.75" customHeight="1">
      <c r="A850" s="118"/>
      <c r="B850" s="232"/>
      <c r="C850" s="118"/>
      <c r="D850" s="232"/>
      <c r="E850" s="219"/>
      <c r="F850" s="232"/>
      <c r="G850" s="235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8"/>
      <c r="T850" s="8"/>
      <c r="U850" s="8"/>
      <c r="V850" s="8"/>
      <c r="W850" s="8"/>
      <c r="X850" s="8"/>
      <c r="Y850" s="8"/>
      <c r="Z850" s="8"/>
    </row>
    <row r="851" ht="12.75" customHeight="1">
      <c r="A851" s="118"/>
      <c r="B851" s="232"/>
      <c r="C851" s="118"/>
      <c r="D851" s="232"/>
      <c r="E851" s="219"/>
      <c r="F851" s="232"/>
      <c r="G851" s="235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8"/>
      <c r="T851" s="8"/>
      <c r="U851" s="8"/>
      <c r="V851" s="8"/>
      <c r="W851" s="8"/>
      <c r="X851" s="8"/>
      <c r="Y851" s="8"/>
      <c r="Z851" s="8"/>
    </row>
    <row r="852" ht="12.75" customHeight="1">
      <c r="A852" s="118"/>
      <c r="B852" s="232"/>
      <c r="C852" s="118"/>
      <c r="D852" s="232"/>
      <c r="E852" s="219"/>
      <c r="F852" s="232"/>
      <c r="G852" s="235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8"/>
      <c r="T852" s="8"/>
      <c r="U852" s="8"/>
      <c r="V852" s="8"/>
      <c r="W852" s="8"/>
      <c r="X852" s="8"/>
      <c r="Y852" s="8"/>
      <c r="Z852" s="8"/>
    </row>
    <row r="853" ht="12.75" customHeight="1">
      <c r="A853" s="118"/>
      <c r="B853" s="232"/>
      <c r="C853" s="118"/>
      <c r="D853" s="232"/>
      <c r="E853" s="219"/>
      <c r="F853" s="232"/>
      <c r="G853" s="235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8"/>
      <c r="T853" s="8"/>
      <c r="U853" s="8"/>
      <c r="V853" s="8"/>
      <c r="W853" s="8"/>
      <c r="X853" s="8"/>
      <c r="Y853" s="8"/>
      <c r="Z853" s="8"/>
    </row>
    <row r="854" ht="12.75" customHeight="1">
      <c r="A854" s="118"/>
      <c r="B854" s="232"/>
      <c r="C854" s="118"/>
      <c r="D854" s="232"/>
      <c r="E854" s="219"/>
      <c r="F854" s="232"/>
      <c r="G854" s="235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8"/>
      <c r="T854" s="8"/>
      <c r="U854" s="8"/>
      <c r="V854" s="8"/>
      <c r="W854" s="8"/>
      <c r="X854" s="8"/>
      <c r="Y854" s="8"/>
      <c r="Z854" s="8"/>
    </row>
    <row r="855" ht="12.75" customHeight="1">
      <c r="A855" s="118"/>
      <c r="B855" s="232"/>
      <c r="C855" s="118"/>
      <c r="D855" s="232"/>
      <c r="E855" s="219"/>
      <c r="F855" s="232"/>
      <c r="G855" s="235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8"/>
      <c r="T855" s="8"/>
      <c r="U855" s="8"/>
      <c r="V855" s="8"/>
      <c r="W855" s="8"/>
      <c r="X855" s="8"/>
      <c r="Y855" s="8"/>
      <c r="Z855" s="8"/>
    </row>
    <row r="856" ht="12.75" customHeight="1">
      <c r="A856" s="118"/>
      <c r="B856" s="232"/>
      <c r="C856" s="118"/>
      <c r="D856" s="232"/>
      <c r="E856" s="219"/>
      <c r="F856" s="232"/>
      <c r="G856" s="235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8"/>
      <c r="T856" s="8"/>
      <c r="U856" s="8"/>
      <c r="V856" s="8"/>
      <c r="W856" s="8"/>
      <c r="X856" s="8"/>
      <c r="Y856" s="8"/>
      <c r="Z856" s="8"/>
    </row>
    <row r="857" ht="12.75" customHeight="1">
      <c r="A857" s="118"/>
      <c r="B857" s="232"/>
      <c r="C857" s="118"/>
      <c r="D857" s="232"/>
      <c r="E857" s="219"/>
      <c r="F857" s="232"/>
      <c r="G857" s="235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8"/>
      <c r="T857" s="8"/>
      <c r="U857" s="8"/>
      <c r="V857" s="8"/>
      <c r="W857" s="8"/>
      <c r="X857" s="8"/>
      <c r="Y857" s="8"/>
      <c r="Z857" s="8"/>
    </row>
    <row r="858" ht="12.75" customHeight="1">
      <c r="A858" s="118"/>
      <c r="B858" s="232"/>
      <c r="C858" s="118"/>
      <c r="D858" s="232"/>
      <c r="E858" s="219"/>
      <c r="F858" s="232"/>
      <c r="G858" s="235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8"/>
      <c r="T858" s="8"/>
      <c r="U858" s="8"/>
      <c r="V858" s="8"/>
      <c r="W858" s="8"/>
      <c r="X858" s="8"/>
      <c r="Y858" s="8"/>
      <c r="Z858" s="8"/>
    </row>
    <row r="859" ht="12.75" customHeight="1">
      <c r="A859" s="118"/>
      <c r="B859" s="232"/>
      <c r="C859" s="118"/>
      <c r="D859" s="232"/>
      <c r="E859" s="219"/>
      <c r="F859" s="232"/>
      <c r="G859" s="235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8"/>
      <c r="T859" s="8"/>
      <c r="U859" s="8"/>
      <c r="V859" s="8"/>
      <c r="W859" s="8"/>
      <c r="X859" s="8"/>
      <c r="Y859" s="8"/>
      <c r="Z859" s="8"/>
    </row>
    <row r="860" ht="12.75" customHeight="1">
      <c r="A860" s="118"/>
      <c r="B860" s="232"/>
      <c r="C860" s="118"/>
      <c r="D860" s="232"/>
      <c r="E860" s="219"/>
      <c r="F860" s="232"/>
      <c r="G860" s="235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8"/>
      <c r="T860" s="8"/>
      <c r="U860" s="8"/>
      <c r="V860" s="8"/>
      <c r="W860" s="8"/>
      <c r="X860" s="8"/>
      <c r="Y860" s="8"/>
      <c r="Z860" s="8"/>
    </row>
    <row r="861" ht="12.75" customHeight="1">
      <c r="A861" s="118"/>
      <c r="B861" s="232"/>
      <c r="C861" s="118"/>
      <c r="D861" s="232"/>
      <c r="E861" s="219"/>
      <c r="F861" s="232"/>
      <c r="G861" s="235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8"/>
      <c r="T861" s="8"/>
      <c r="U861" s="8"/>
      <c r="V861" s="8"/>
      <c r="W861" s="8"/>
      <c r="X861" s="8"/>
      <c r="Y861" s="8"/>
      <c r="Z861" s="8"/>
    </row>
    <row r="862" ht="12.75" customHeight="1">
      <c r="A862" s="118"/>
      <c r="B862" s="232"/>
      <c r="C862" s="118"/>
      <c r="D862" s="232"/>
      <c r="E862" s="219"/>
      <c r="F862" s="232"/>
      <c r="G862" s="235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8"/>
      <c r="T862" s="8"/>
      <c r="U862" s="8"/>
      <c r="V862" s="8"/>
      <c r="W862" s="8"/>
      <c r="X862" s="8"/>
      <c r="Y862" s="8"/>
      <c r="Z862" s="8"/>
    </row>
    <row r="863" ht="12.75" customHeight="1">
      <c r="A863" s="118"/>
      <c r="B863" s="232"/>
      <c r="C863" s="118"/>
      <c r="D863" s="232"/>
      <c r="E863" s="219"/>
      <c r="F863" s="232"/>
      <c r="G863" s="235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8"/>
      <c r="T863" s="8"/>
      <c r="U863" s="8"/>
      <c r="V863" s="8"/>
      <c r="W863" s="8"/>
      <c r="X863" s="8"/>
      <c r="Y863" s="8"/>
      <c r="Z863" s="8"/>
    </row>
    <row r="864" ht="12.75" customHeight="1">
      <c r="A864" s="118"/>
      <c r="B864" s="232"/>
      <c r="C864" s="118"/>
      <c r="D864" s="232"/>
      <c r="E864" s="219"/>
      <c r="F864" s="232"/>
      <c r="G864" s="235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8"/>
      <c r="T864" s="8"/>
      <c r="U864" s="8"/>
      <c r="V864" s="8"/>
      <c r="W864" s="8"/>
      <c r="X864" s="8"/>
      <c r="Y864" s="8"/>
      <c r="Z864" s="8"/>
    </row>
    <row r="865" ht="12.75" customHeight="1">
      <c r="A865" s="119"/>
      <c r="B865" s="219"/>
      <c r="C865" s="119"/>
      <c r="D865" s="219"/>
      <c r="E865" s="219"/>
      <c r="F865" s="219"/>
      <c r="G865" s="236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8"/>
      <c r="T865" s="8"/>
      <c r="U865" s="8"/>
      <c r="V865" s="8"/>
      <c r="W865" s="8"/>
      <c r="X865" s="8"/>
      <c r="Y865" s="8"/>
      <c r="Z865" s="8"/>
    </row>
    <row r="866" ht="12.75" customHeight="1">
      <c r="A866" s="119"/>
      <c r="B866" s="219"/>
      <c r="C866" s="119"/>
      <c r="D866" s="219"/>
      <c r="E866" s="219"/>
      <c r="F866" s="219"/>
      <c r="G866" s="236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8"/>
      <c r="T866" s="8"/>
      <c r="U866" s="8"/>
      <c r="V866" s="8"/>
      <c r="W866" s="8"/>
      <c r="X866" s="8"/>
      <c r="Y866" s="8"/>
      <c r="Z866" s="8"/>
    </row>
    <row r="867" ht="12.75" customHeight="1">
      <c r="A867" s="119"/>
      <c r="B867" s="219"/>
      <c r="C867" s="119"/>
      <c r="D867" s="219"/>
      <c r="E867" s="219"/>
      <c r="F867" s="219"/>
      <c r="G867" s="236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8"/>
      <c r="T867" s="8"/>
      <c r="U867" s="8"/>
      <c r="V867" s="8"/>
      <c r="W867" s="8"/>
      <c r="X867" s="8"/>
      <c r="Y867" s="8"/>
      <c r="Z867" s="8"/>
    </row>
    <row r="868" ht="12.75" customHeight="1">
      <c r="A868" s="119"/>
      <c r="B868" s="219"/>
      <c r="C868" s="119"/>
      <c r="D868" s="219"/>
      <c r="E868" s="219"/>
      <c r="F868" s="219"/>
      <c r="G868" s="236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8"/>
      <c r="T868" s="8"/>
      <c r="U868" s="8"/>
      <c r="V868" s="8"/>
      <c r="W868" s="8"/>
      <c r="X868" s="8"/>
      <c r="Y868" s="8"/>
      <c r="Z868" s="8"/>
    </row>
    <row r="869" ht="12.75" customHeight="1">
      <c r="A869" s="119"/>
      <c r="B869" s="219"/>
      <c r="C869" s="119"/>
      <c r="D869" s="219"/>
      <c r="E869" s="219"/>
      <c r="F869" s="219"/>
      <c r="G869" s="236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8"/>
      <c r="T869" s="8"/>
      <c r="U869" s="8"/>
      <c r="V869" s="8"/>
      <c r="W869" s="8"/>
      <c r="X869" s="8"/>
      <c r="Y869" s="8"/>
      <c r="Z869" s="8"/>
    </row>
    <row r="870" ht="12.75" customHeight="1">
      <c r="A870" s="119"/>
      <c r="B870" s="219"/>
      <c r="C870" s="119"/>
      <c r="D870" s="219"/>
      <c r="E870" s="219"/>
      <c r="F870" s="219"/>
      <c r="G870" s="236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8"/>
      <c r="T870" s="8"/>
      <c r="U870" s="8"/>
      <c r="V870" s="8"/>
      <c r="W870" s="8"/>
      <c r="X870" s="8"/>
      <c r="Y870" s="8"/>
      <c r="Z870" s="8"/>
    </row>
    <row r="871" ht="12.75" customHeight="1">
      <c r="A871" s="119"/>
      <c r="B871" s="219"/>
      <c r="C871" s="119"/>
      <c r="D871" s="219"/>
      <c r="E871" s="219"/>
      <c r="F871" s="219"/>
      <c r="G871" s="236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8"/>
      <c r="T871" s="8"/>
      <c r="U871" s="8"/>
      <c r="V871" s="8"/>
      <c r="W871" s="8"/>
      <c r="X871" s="8"/>
      <c r="Y871" s="8"/>
      <c r="Z871" s="8"/>
    </row>
    <row r="872" ht="12.75" customHeight="1">
      <c r="A872" s="119"/>
      <c r="B872" s="219"/>
      <c r="C872" s="119"/>
      <c r="D872" s="219"/>
      <c r="E872" s="219"/>
      <c r="F872" s="219"/>
      <c r="G872" s="236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8"/>
      <c r="T872" s="8"/>
      <c r="U872" s="8"/>
      <c r="V872" s="8"/>
      <c r="W872" s="8"/>
      <c r="X872" s="8"/>
      <c r="Y872" s="8"/>
      <c r="Z872" s="8"/>
    </row>
    <row r="873" ht="12.75" customHeight="1">
      <c r="A873" s="119"/>
      <c r="B873" s="219"/>
      <c r="C873" s="119"/>
      <c r="D873" s="219"/>
      <c r="E873" s="219"/>
      <c r="F873" s="219"/>
      <c r="G873" s="236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8"/>
      <c r="T873" s="8"/>
      <c r="U873" s="8"/>
      <c r="V873" s="8"/>
      <c r="W873" s="8"/>
      <c r="X873" s="8"/>
      <c r="Y873" s="8"/>
      <c r="Z873" s="8"/>
    </row>
    <row r="874" ht="12.75" customHeight="1">
      <c r="A874" s="119"/>
      <c r="B874" s="219"/>
      <c r="C874" s="119"/>
      <c r="D874" s="219"/>
      <c r="E874" s="219"/>
      <c r="F874" s="219"/>
      <c r="G874" s="236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8"/>
      <c r="T874" s="8"/>
      <c r="U874" s="8"/>
      <c r="V874" s="8"/>
      <c r="W874" s="8"/>
      <c r="X874" s="8"/>
      <c r="Y874" s="8"/>
      <c r="Z874" s="8"/>
    </row>
    <row r="875" ht="12.75" customHeight="1">
      <c r="A875" s="119"/>
      <c r="B875" s="219"/>
      <c r="C875" s="119"/>
      <c r="D875" s="219"/>
      <c r="E875" s="219"/>
      <c r="F875" s="219"/>
      <c r="G875" s="236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8"/>
      <c r="T875" s="8"/>
      <c r="U875" s="8"/>
      <c r="V875" s="8"/>
      <c r="W875" s="8"/>
      <c r="X875" s="8"/>
      <c r="Y875" s="8"/>
      <c r="Z875" s="8"/>
    </row>
    <row r="876" ht="12.75" customHeight="1">
      <c r="A876" s="119"/>
      <c r="B876" s="219"/>
      <c r="C876" s="119"/>
      <c r="D876" s="219"/>
      <c r="E876" s="219"/>
      <c r="F876" s="219"/>
      <c r="G876" s="236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8"/>
      <c r="T876" s="8"/>
      <c r="U876" s="8"/>
      <c r="V876" s="8"/>
      <c r="W876" s="8"/>
      <c r="X876" s="8"/>
      <c r="Y876" s="8"/>
      <c r="Z876" s="8"/>
    </row>
    <row r="877" ht="12.75" customHeight="1">
      <c r="A877" s="119"/>
      <c r="B877" s="219"/>
      <c r="C877" s="119"/>
      <c r="D877" s="219"/>
      <c r="E877" s="219"/>
      <c r="F877" s="219"/>
      <c r="G877" s="236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8"/>
      <c r="T877" s="8"/>
      <c r="U877" s="8"/>
      <c r="V877" s="8"/>
      <c r="W877" s="8"/>
      <c r="X877" s="8"/>
      <c r="Y877" s="8"/>
      <c r="Z877" s="8"/>
    </row>
    <row r="878" ht="12.75" customHeight="1">
      <c r="A878" s="119"/>
      <c r="B878" s="219"/>
      <c r="C878" s="119"/>
      <c r="D878" s="219"/>
      <c r="E878" s="219"/>
      <c r="F878" s="219"/>
      <c r="G878" s="236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8"/>
      <c r="T878" s="8"/>
      <c r="U878" s="8"/>
      <c r="V878" s="8"/>
      <c r="W878" s="8"/>
      <c r="X878" s="8"/>
      <c r="Y878" s="8"/>
      <c r="Z878" s="8"/>
    </row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5:$G$678"/>
  <mergeCells count="3">
    <mergeCell ref="A1:G1"/>
    <mergeCell ref="A2:G2"/>
    <mergeCell ref="A3:G3"/>
  </mergeCells>
  <dataValidations>
    <dataValidation type="list" allowBlank="1" showInputMessage="1" showErrorMessage="1" prompt=" - " sqref="C7:C33 C35:C38 C41:C82 C85:C128 C133:C136 C142:C145 C158 C160:C213 C215:C220 C286:C297 C300 C302 C324 C395:C396 C407:C408 C411:C412 C418 C420:C424 C432:C435 C458:C459 C466:C467 C470:C478 C495:C497 C510:C513 C515:C532 C534 C539 C541 C543 C546:C562">
      <formula1>AreaConcentracao</formula1>
    </dataValidation>
  </dataValidations>
  <hyperlinks>
    <hyperlink r:id="rId1" ref="A7"/>
    <hyperlink r:id="rId2" ref="A8"/>
    <hyperlink r:id="rId3" ref="A9"/>
    <hyperlink r:id="rId4" ref="A10"/>
    <hyperlink r:id="rId5" ref="A11"/>
    <hyperlink r:id="rId6" ref="A12"/>
    <hyperlink r:id="rId7" ref="A13"/>
    <hyperlink r:id="rId8" ref="A14"/>
    <hyperlink r:id="rId9" ref="A15"/>
    <hyperlink r:id="rId10" ref="A16"/>
    <hyperlink r:id="rId11" ref="A17"/>
    <hyperlink r:id="rId12" ref="A18"/>
    <hyperlink r:id="rId13" ref="A19"/>
    <hyperlink r:id="rId14" ref="A20"/>
    <hyperlink r:id="rId15" ref="A21"/>
    <hyperlink r:id="rId16" ref="A22"/>
    <hyperlink r:id="rId17" ref="A23"/>
    <hyperlink r:id="rId18" ref="A24"/>
    <hyperlink r:id="rId19" ref="A25"/>
    <hyperlink r:id="rId20" ref="A26"/>
    <hyperlink r:id="rId21" ref="A27"/>
    <hyperlink r:id="rId22" ref="A28"/>
    <hyperlink r:id="rId23" ref="A29"/>
    <hyperlink r:id="rId24" ref="A30"/>
    <hyperlink r:id="rId25" ref="A31"/>
    <hyperlink r:id="rId26" ref="A32"/>
    <hyperlink r:id="rId27" ref="A33"/>
    <hyperlink r:id="rId28" ref="A34"/>
    <hyperlink r:id="rId29" ref="A35"/>
    <hyperlink r:id="rId30" ref="A36"/>
    <hyperlink r:id="rId31" ref="A37"/>
    <hyperlink r:id="rId32" ref="A41"/>
    <hyperlink r:id="rId33" ref="A42"/>
    <hyperlink r:id="rId34" ref="A43"/>
    <hyperlink r:id="rId35" ref="A44"/>
    <hyperlink r:id="rId36" ref="A45"/>
    <hyperlink r:id="rId37" ref="A46"/>
    <hyperlink r:id="rId38" ref="A48"/>
    <hyperlink r:id="rId39" ref="A49"/>
    <hyperlink r:id="rId40" ref="A50"/>
    <hyperlink r:id="rId41" ref="A51"/>
    <hyperlink r:id="rId42" ref="A52"/>
    <hyperlink r:id="rId43" ref="A53"/>
    <hyperlink r:id="rId44" ref="A54"/>
    <hyperlink r:id="rId45" ref="A55"/>
    <hyperlink r:id="rId46" ref="A56"/>
    <hyperlink r:id="rId47" ref="A57"/>
    <hyperlink r:id="rId48" ref="A58"/>
    <hyperlink r:id="rId49" ref="A59"/>
    <hyperlink r:id="rId50" ref="A60"/>
    <hyperlink r:id="rId51" ref="A61"/>
    <hyperlink r:id="rId52" ref="A62"/>
    <hyperlink r:id="rId53" ref="A63"/>
    <hyperlink r:id="rId54" ref="A64"/>
    <hyperlink r:id="rId55" ref="A65"/>
    <hyperlink r:id="rId56" ref="A66"/>
    <hyperlink r:id="rId57" ref="A67"/>
    <hyperlink r:id="rId58" ref="A68"/>
    <hyperlink r:id="rId59" ref="A69"/>
    <hyperlink r:id="rId60" ref="A70"/>
    <hyperlink r:id="rId61" ref="A71"/>
    <hyperlink r:id="rId62" ref="A72"/>
    <hyperlink r:id="rId63" ref="A73"/>
    <hyperlink r:id="rId64" ref="A74"/>
    <hyperlink r:id="rId65" ref="A75"/>
    <hyperlink r:id="rId66" ref="A76"/>
    <hyperlink r:id="rId67" ref="A77"/>
    <hyperlink r:id="rId68" ref="A78"/>
    <hyperlink r:id="rId69" ref="A79"/>
    <hyperlink r:id="rId70" ref="A80"/>
    <hyperlink r:id="rId71" ref="A85"/>
    <hyperlink r:id="rId72" ref="A86"/>
    <hyperlink r:id="rId73" ref="A87"/>
    <hyperlink r:id="rId74" ref="A88"/>
    <hyperlink r:id="rId75" ref="A89"/>
    <hyperlink r:id="rId76" ref="A91"/>
    <hyperlink r:id="rId77" ref="A92"/>
    <hyperlink r:id="rId78" ref="A93"/>
    <hyperlink r:id="rId79" ref="A94"/>
    <hyperlink r:id="rId80" ref="A95"/>
    <hyperlink r:id="rId81" ref="A96"/>
    <hyperlink r:id="rId82" ref="A97"/>
    <hyperlink r:id="rId83" ref="A98"/>
    <hyperlink r:id="rId84" ref="A99"/>
    <hyperlink r:id="rId85" ref="A100"/>
    <hyperlink r:id="rId86" ref="A101"/>
    <hyperlink r:id="rId87" ref="A102"/>
    <hyperlink r:id="rId88" ref="A103"/>
    <hyperlink r:id="rId89" ref="A104"/>
    <hyperlink r:id="rId90" ref="A105"/>
    <hyperlink r:id="rId91" ref="A106"/>
    <hyperlink r:id="rId92" ref="A107"/>
    <hyperlink r:id="rId93" ref="A108"/>
    <hyperlink r:id="rId94" ref="A109"/>
    <hyperlink r:id="rId95" ref="A110"/>
    <hyperlink r:id="rId96" ref="A111"/>
    <hyperlink r:id="rId97" ref="A112"/>
    <hyperlink r:id="rId98" ref="A113"/>
    <hyperlink r:id="rId99" ref="A114"/>
    <hyperlink r:id="rId100" ref="A115"/>
    <hyperlink r:id="rId101" ref="A116"/>
    <hyperlink r:id="rId102" ref="A117"/>
    <hyperlink r:id="rId103" ref="A118"/>
    <hyperlink r:id="rId104" ref="A119"/>
    <hyperlink r:id="rId105" ref="A120"/>
    <hyperlink r:id="rId106" ref="A121"/>
    <hyperlink r:id="rId107" ref="A122"/>
    <hyperlink r:id="rId108" ref="A123"/>
    <hyperlink r:id="rId109" ref="A124"/>
    <hyperlink r:id="rId110" ref="A125"/>
    <hyperlink r:id="rId111" ref="A126"/>
    <hyperlink r:id="rId112" ref="A127"/>
    <hyperlink r:id="rId113" ref="A128"/>
    <hyperlink r:id="rId114" ref="A129"/>
    <hyperlink r:id="rId115" ref="A130"/>
    <hyperlink r:id="rId116" ref="A131"/>
    <hyperlink r:id="rId117" ref="A132"/>
    <hyperlink r:id="rId118" ref="A133"/>
    <hyperlink r:id="rId119" ref="A135"/>
    <hyperlink r:id="rId120" ref="A136"/>
    <hyperlink r:id="rId121" ref="A137"/>
    <hyperlink r:id="rId122" ref="A138"/>
    <hyperlink r:id="rId123" ref="A139"/>
    <hyperlink r:id="rId124" ref="A140"/>
    <hyperlink r:id="rId125" ref="A141"/>
    <hyperlink r:id="rId126" ref="A142"/>
    <hyperlink r:id="rId127" ref="A146"/>
    <hyperlink r:id="rId128" ref="A147"/>
    <hyperlink r:id="rId129" ref="A148"/>
    <hyperlink r:id="rId130" ref="A149"/>
    <hyperlink r:id="rId131" ref="A150"/>
    <hyperlink r:id="rId132" ref="A151"/>
    <hyperlink r:id="rId133" ref="A152"/>
    <hyperlink r:id="rId134" ref="A153"/>
    <hyperlink r:id="rId135" ref="A154"/>
    <hyperlink r:id="rId136" ref="A155"/>
    <hyperlink r:id="rId137" ref="A156"/>
    <hyperlink r:id="rId138" ref="A157"/>
    <hyperlink r:id="rId139" ref="A158"/>
    <hyperlink r:id="rId140" ref="A159"/>
    <hyperlink r:id="rId141" ref="A160"/>
    <hyperlink r:id="rId142" ref="A161"/>
    <hyperlink r:id="rId143" ref="A162"/>
    <hyperlink r:id="rId144" ref="A163"/>
    <hyperlink r:id="rId145" ref="A164"/>
    <hyperlink r:id="rId146" ref="A165"/>
    <hyperlink r:id="rId147" ref="A166"/>
    <hyperlink r:id="rId148" ref="A167"/>
    <hyperlink r:id="rId149" ref="A168"/>
    <hyperlink r:id="rId150" ref="A169"/>
    <hyperlink r:id="rId151" ref="A170"/>
    <hyperlink r:id="rId152" ref="A171"/>
    <hyperlink r:id="rId153" ref="A172"/>
    <hyperlink r:id="rId154" ref="A173"/>
    <hyperlink r:id="rId155" ref="A174"/>
    <hyperlink r:id="rId156" ref="A175"/>
    <hyperlink r:id="rId157" ref="A176"/>
    <hyperlink r:id="rId158" ref="A177"/>
    <hyperlink r:id="rId159" ref="A178"/>
    <hyperlink r:id="rId160" ref="A179"/>
    <hyperlink r:id="rId161" ref="A180"/>
    <hyperlink r:id="rId162" ref="A181"/>
    <hyperlink r:id="rId163" ref="A182"/>
    <hyperlink r:id="rId164" ref="A183"/>
    <hyperlink r:id="rId165" ref="A184"/>
    <hyperlink r:id="rId166" ref="A185"/>
    <hyperlink r:id="rId167" ref="A186"/>
    <hyperlink r:id="rId168" ref="A187"/>
    <hyperlink r:id="rId169" ref="A188"/>
    <hyperlink r:id="rId170" ref="A189"/>
    <hyperlink r:id="rId171" ref="A190"/>
    <hyperlink r:id="rId172" ref="A191"/>
    <hyperlink r:id="rId173" ref="A192"/>
    <hyperlink r:id="rId174" ref="A193"/>
    <hyperlink r:id="rId175" ref="A194"/>
    <hyperlink r:id="rId176" ref="A195"/>
    <hyperlink r:id="rId177" ref="A196"/>
    <hyperlink r:id="rId178" ref="A197"/>
    <hyperlink r:id="rId179" ref="A198"/>
    <hyperlink r:id="rId180" ref="A200"/>
    <hyperlink r:id="rId181" ref="A201"/>
    <hyperlink r:id="rId182" ref="A202"/>
    <hyperlink r:id="rId183" ref="A203"/>
    <hyperlink r:id="rId184" ref="A204"/>
    <hyperlink r:id="rId185" ref="A205"/>
    <hyperlink r:id="rId186" ref="A206"/>
    <hyperlink r:id="rId187" ref="A208"/>
    <hyperlink r:id="rId188" ref="A209"/>
    <hyperlink r:id="rId189" ref="A210"/>
    <hyperlink r:id="rId190" ref="A215"/>
    <hyperlink r:id="rId191" ref="A216"/>
    <hyperlink r:id="rId192" ref="A217"/>
    <hyperlink r:id="rId193" ref="A218"/>
    <hyperlink r:id="rId194" ref="A219"/>
    <hyperlink r:id="rId195" ref="A220"/>
    <hyperlink r:id="rId196" ref="A221"/>
    <hyperlink r:id="rId197" ref="A224"/>
    <hyperlink r:id="rId198" ref="A225"/>
    <hyperlink r:id="rId199" ref="A226"/>
    <hyperlink r:id="rId200" ref="A227"/>
    <hyperlink r:id="rId201" ref="A228"/>
    <hyperlink r:id="rId202" ref="A229"/>
    <hyperlink r:id="rId203" ref="A230"/>
    <hyperlink r:id="rId204" ref="A231"/>
    <hyperlink r:id="rId205" ref="A232"/>
    <hyperlink r:id="rId206" ref="A233"/>
    <hyperlink r:id="rId207" ref="A234"/>
    <hyperlink r:id="rId208" ref="A235"/>
    <hyperlink r:id="rId209" ref="A236"/>
    <hyperlink r:id="rId210" ref="A237"/>
    <hyperlink r:id="rId211" ref="A238"/>
    <hyperlink r:id="rId212" ref="A239"/>
    <hyperlink r:id="rId213" ref="A240"/>
    <hyperlink r:id="rId214" ref="A241"/>
    <hyperlink r:id="rId215" ref="A242"/>
    <hyperlink r:id="rId216" ref="A243"/>
    <hyperlink r:id="rId217" ref="A244"/>
    <hyperlink r:id="rId218" ref="A245"/>
    <hyperlink r:id="rId219" ref="A246"/>
    <hyperlink r:id="rId220" ref="A247"/>
    <hyperlink r:id="rId221" ref="A248"/>
    <hyperlink r:id="rId222" ref="A249"/>
    <hyperlink r:id="rId223" ref="A250"/>
    <hyperlink r:id="rId224" ref="A251"/>
    <hyperlink r:id="rId225" ref="A253"/>
    <hyperlink r:id="rId226" ref="A254"/>
    <hyperlink r:id="rId227" ref="A255"/>
    <hyperlink r:id="rId228" ref="A256"/>
    <hyperlink r:id="rId229" ref="A257"/>
    <hyperlink r:id="rId230" ref="A262"/>
    <hyperlink r:id="rId231" ref="A263"/>
    <hyperlink r:id="rId232" ref="A264"/>
    <hyperlink r:id="rId233" ref="A265"/>
    <hyperlink r:id="rId234" ref="A266"/>
    <hyperlink r:id="rId235" ref="A267"/>
    <hyperlink r:id="rId236" ref="A268"/>
    <hyperlink r:id="rId237" ref="A269"/>
    <hyperlink r:id="rId238" ref="A270"/>
    <hyperlink r:id="rId239" ref="A271"/>
    <hyperlink r:id="rId240" ref="A272"/>
    <hyperlink r:id="rId241" ref="A273"/>
    <hyperlink r:id="rId242" ref="A274"/>
    <hyperlink r:id="rId243" ref="A275"/>
    <hyperlink r:id="rId244" ref="A276"/>
    <hyperlink r:id="rId245" ref="A277"/>
    <hyperlink r:id="rId246" ref="A278"/>
    <hyperlink r:id="rId247" ref="A279"/>
    <hyperlink r:id="rId248" ref="A280"/>
    <hyperlink r:id="rId249" ref="A281"/>
    <hyperlink r:id="rId250" ref="A282"/>
    <hyperlink r:id="rId251" ref="A283"/>
    <hyperlink r:id="rId252" ref="A284"/>
    <hyperlink r:id="rId253" ref="A285"/>
    <hyperlink r:id="rId254" ref="A286"/>
    <hyperlink r:id="rId255" ref="A287"/>
    <hyperlink r:id="rId256" ref="A288"/>
    <hyperlink r:id="rId257" ref="A289"/>
    <hyperlink r:id="rId258" ref="A290"/>
    <hyperlink r:id="rId259" ref="A291"/>
    <hyperlink r:id="rId260" ref="A292"/>
    <hyperlink r:id="rId261" ref="A293"/>
    <hyperlink r:id="rId262" ref="A294"/>
    <hyperlink r:id="rId263" ref="A295"/>
    <hyperlink r:id="rId264" ref="A296"/>
    <hyperlink r:id="rId265" ref="A297"/>
    <hyperlink r:id="rId266" ref="A298"/>
    <hyperlink r:id="rId267" ref="A299"/>
    <hyperlink r:id="rId268" ref="A300"/>
    <hyperlink r:id="rId269" ref="A301"/>
    <hyperlink r:id="rId270" ref="A302"/>
    <hyperlink r:id="rId271" ref="A303"/>
    <hyperlink r:id="rId272" ref="A304"/>
    <hyperlink r:id="rId273" ref="A305"/>
    <hyperlink r:id="rId274" ref="A306"/>
    <hyperlink r:id="rId275" ref="A307"/>
    <hyperlink r:id="rId276" ref="A308"/>
    <hyperlink r:id="rId277" ref="A309"/>
    <hyperlink r:id="rId278" ref="A310"/>
    <hyperlink r:id="rId279" ref="A311"/>
    <hyperlink r:id="rId280" ref="A314"/>
    <hyperlink r:id="rId281" ref="A315"/>
    <hyperlink r:id="rId282" ref="A316"/>
    <hyperlink r:id="rId283" ref="A317"/>
    <hyperlink r:id="rId284" ref="A318"/>
    <hyperlink r:id="rId285" ref="A319"/>
    <hyperlink r:id="rId286" ref="A320"/>
    <hyperlink r:id="rId287" ref="A321"/>
    <hyperlink r:id="rId288" ref="A322"/>
    <hyperlink r:id="rId289" ref="A323"/>
    <hyperlink r:id="rId290" ref="A324"/>
    <hyperlink r:id="rId291" ref="A325"/>
    <hyperlink r:id="rId292" ref="A326"/>
    <hyperlink r:id="rId293" ref="A327"/>
    <hyperlink r:id="rId294" ref="A328"/>
    <hyperlink r:id="rId295" ref="A329"/>
    <hyperlink r:id="rId296" ref="A330"/>
    <hyperlink r:id="rId297" ref="A331"/>
    <hyperlink r:id="rId298" ref="A332"/>
    <hyperlink r:id="rId299" ref="A333"/>
    <hyperlink r:id="rId300" ref="A334"/>
    <hyperlink r:id="rId301" ref="A335"/>
    <hyperlink r:id="rId302" ref="A336"/>
    <hyperlink r:id="rId303" ref="A337"/>
    <hyperlink r:id="rId304" ref="A338"/>
    <hyperlink r:id="rId305" ref="A339"/>
    <hyperlink r:id="rId306" ref="A340"/>
    <hyperlink r:id="rId307" ref="A341"/>
    <hyperlink r:id="rId308" ref="A342"/>
    <hyperlink r:id="rId309" ref="A343"/>
    <hyperlink r:id="rId310" ref="A344"/>
    <hyperlink r:id="rId311" ref="A345"/>
    <hyperlink r:id="rId312" ref="A346"/>
    <hyperlink r:id="rId313" ref="A347"/>
    <hyperlink r:id="rId314" ref="A348"/>
    <hyperlink r:id="rId315" ref="A349"/>
    <hyperlink r:id="rId316" ref="A350"/>
    <hyperlink r:id="rId317" ref="A351"/>
    <hyperlink r:id="rId318" ref="A352"/>
    <hyperlink r:id="rId319" ref="A355"/>
    <hyperlink r:id="rId320" ref="A356"/>
    <hyperlink r:id="rId321" ref="A357"/>
    <hyperlink r:id="rId322" ref="A358"/>
    <hyperlink r:id="rId323" ref="A359"/>
    <hyperlink r:id="rId324" ref="A361"/>
    <hyperlink r:id="rId325" ref="A362"/>
    <hyperlink r:id="rId326" ref="A363"/>
    <hyperlink r:id="rId327" ref="A365"/>
    <hyperlink r:id="rId328" ref="A366"/>
    <hyperlink r:id="rId329" ref="A367"/>
    <hyperlink r:id="rId330" ref="A368"/>
    <hyperlink r:id="rId331" ref="A369"/>
    <hyperlink r:id="rId332" ref="A370"/>
    <hyperlink r:id="rId333" ref="A371"/>
    <hyperlink r:id="rId334" ref="A372"/>
    <hyperlink r:id="rId335" ref="A373"/>
    <hyperlink r:id="rId336" ref="A374"/>
    <hyperlink r:id="rId337" ref="A375"/>
    <hyperlink r:id="rId338" ref="A379"/>
    <hyperlink r:id="rId339" ref="A380"/>
    <hyperlink r:id="rId340" ref="A381"/>
    <hyperlink r:id="rId341" ref="A382"/>
    <hyperlink r:id="rId342" ref="A383"/>
    <hyperlink r:id="rId343" ref="A384"/>
    <hyperlink r:id="rId344" ref="A385"/>
    <hyperlink r:id="rId345" ref="A386"/>
    <hyperlink r:id="rId346" ref="A387"/>
    <hyperlink r:id="rId347" ref="A388"/>
    <hyperlink r:id="rId348" ref="A389"/>
    <hyperlink r:id="rId349" ref="A390"/>
    <hyperlink r:id="rId350" ref="A391"/>
    <hyperlink r:id="rId351" ref="A392"/>
    <hyperlink r:id="rId352" ref="A393"/>
    <hyperlink r:id="rId353" ref="A394"/>
    <hyperlink r:id="rId354" ref="A395"/>
    <hyperlink r:id="rId355" ref="A396"/>
    <hyperlink r:id="rId356" ref="A397"/>
    <hyperlink r:id="rId357" ref="A398"/>
    <hyperlink r:id="rId358" ref="A399"/>
    <hyperlink r:id="rId359" ref="A400"/>
    <hyperlink r:id="rId360" ref="A401"/>
    <hyperlink r:id="rId361" ref="A402"/>
    <hyperlink r:id="rId362" ref="A403"/>
    <hyperlink r:id="rId363" ref="A404"/>
    <hyperlink r:id="rId364" ref="A405"/>
    <hyperlink r:id="rId365" ref="A406"/>
    <hyperlink r:id="rId366" ref="A407"/>
    <hyperlink r:id="rId367" ref="A408"/>
    <hyperlink r:id="rId368" ref="A409"/>
    <hyperlink r:id="rId369" ref="A410"/>
    <hyperlink r:id="rId370" ref="A411"/>
    <hyperlink r:id="rId371" ref="A412"/>
    <hyperlink r:id="rId372" ref="A413"/>
    <hyperlink r:id="rId373" ref="A414"/>
    <hyperlink r:id="rId374" ref="A415"/>
    <hyperlink r:id="rId375" ref="A416"/>
    <hyperlink r:id="rId376" ref="A417"/>
    <hyperlink r:id="rId377" ref="A418"/>
    <hyperlink r:id="rId378" ref="A419"/>
    <hyperlink r:id="rId379" ref="A421"/>
    <hyperlink r:id="rId380" ref="A422"/>
    <hyperlink r:id="rId381" ref="A423"/>
    <hyperlink r:id="rId382" ref="A424"/>
    <hyperlink r:id="rId383" ref="A425"/>
    <hyperlink r:id="rId384" ref="A426"/>
    <hyperlink r:id="rId385" ref="A427"/>
    <hyperlink r:id="rId386" ref="A431"/>
    <hyperlink r:id="rId387" ref="A432"/>
    <hyperlink r:id="rId388" ref="A433"/>
    <hyperlink r:id="rId389" ref="A434"/>
    <hyperlink r:id="rId390" ref="A435"/>
    <hyperlink r:id="rId391" ref="A436"/>
    <hyperlink r:id="rId392" ref="A437"/>
    <hyperlink r:id="rId393" ref="A438"/>
    <hyperlink r:id="rId394" ref="A439"/>
    <hyperlink r:id="rId395" ref="A440"/>
    <hyperlink r:id="rId396" ref="A441"/>
    <hyperlink r:id="rId397" ref="A442"/>
    <hyperlink r:id="rId398" ref="A443"/>
    <hyperlink r:id="rId399" ref="A444"/>
    <hyperlink r:id="rId400" ref="A445"/>
    <hyperlink r:id="rId401" ref="A446"/>
    <hyperlink r:id="rId402" ref="A447"/>
    <hyperlink r:id="rId403" ref="A448"/>
    <hyperlink r:id="rId404" ref="A449"/>
    <hyperlink r:id="rId405" ref="A450"/>
    <hyperlink r:id="rId406" ref="A451"/>
    <hyperlink r:id="rId407" ref="A452"/>
    <hyperlink r:id="rId408" ref="A453"/>
    <hyperlink r:id="rId409" ref="A454"/>
    <hyperlink r:id="rId410" ref="A455"/>
    <hyperlink r:id="rId411" ref="A456"/>
    <hyperlink r:id="rId412" ref="A457"/>
    <hyperlink r:id="rId413" ref="A458"/>
    <hyperlink r:id="rId414" ref="A459"/>
    <hyperlink r:id="rId415" ref="A460"/>
    <hyperlink r:id="rId416" ref="A461"/>
    <hyperlink r:id="rId417" ref="A462"/>
    <hyperlink r:id="rId418" ref="A463"/>
    <hyperlink r:id="rId419" ref="A464"/>
    <hyperlink r:id="rId420" ref="A465"/>
    <hyperlink r:id="rId421" ref="A466"/>
    <hyperlink r:id="rId422" ref="A467"/>
    <hyperlink r:id="rId423" ref="A468"/>
    <hyperlink r:id="rId424" ref="A469"/>
    <hyperlink r:id="rId425" ref="A470"/>
    <hyperlink r:id="rId426" ref="A471"/>
    <hyperlink r:id="rId427" ref="A472"/>
    <hyperlink r:id="rId428" ref="A473"/>
    <hyperlink r:id="rId429" ref="A474"/>
    <hyperlink r:id="rId430" ref="A475"/>
    <hyperlink r:id="rId431" ref="A476"/>
    <hyperlink r:id="rId432" ref="A477"/>
    <hyperlink r:id="rId433" ref="A478"/>
    <hyperlink r:id="rId434" ref="A479"/>
    <hyperlink r:id="rId435" ref="A480"/>
    <hyperlink r:id="rId436" ref="A481"/>
    <hyperlink r:id="rId437" ref="A482"/>
    <hyperlink r:id="rId438" ref="A483"/>
    <hyperlink r:id="rId439" ref="A484"/>
    <hyperlink r:id="rId440" ref="A485"/>
    <hyperlink r:id="rId441" ref="A486"/>
    <hyperlink r:id="rId442" ref="A487"/>
    <hyperlink r:id="rId443" ref="A488"/>
    <hyperlink r:id="rId444" ref="A489"/>
    <hyperlink r:id="rId445" ref="A490"/>
    <hyperlink r:id="rId446" ref="A491"/>
    <hyperlink r:id="rId447" ref="A492"/>
    <hyperlink r:id="rId448" ref="A493"/>
    <hyperlink r:id="rId449" ref="A494"/>
    <hyperlink r:id="rId450" ref="A495"/>
    <hyperlink r:id="rId451" ref="A496"/>
    <hyperlink r:id="rId452" ref="A497"/>
    <hyperlink r:id="rId453" ref="A498"/>
    <hyperlink r:id="rId454" ref="A499"/>
    <hyperlink r:id="rId455" ref="A500"/>
    <hyperlink r:id="rId456" ref="A501"/>
    <hyperlink r:id="rId457" ref="A502"/>
    <hyperlink r:id="rId458" ref="A503"/>
    <hyperlink r:id="rId459" ref="A504"/>
    <hyperlink r:id="rId460" ref="A505"/>
    <hyperlink r:id="rId461" ref="A506"/>
    <hyperlink r:id="rId462" ref="A507"/>
    <hyperlink r:id="rId463" ref="A508"/>
    <hyperlink r:id="rId464" ref="A509"/>
    <hyperlink r:id="rId465" ref="A510"/>
    <hyperlink r:id="rId466" ref="A511"/>
    <hyperlink r:id="rId467" ref="A512"/>
    <hyperlink r:id="rId468" ref="A513"/>
    <hyperlink r:id="rId469" ref="A514"/>
    <hyperlink r:id="rId470" ref="A515"/>
    <hyperlink r:id="rId471" ref="A516"/>
    <hyperlink r:id="rId472" ref="A517"/>
    <hyperlink r:id="rId473" ref="A518"/>
    <hyperlink r:id="rId474" ref="A519"/>
    <hyperlink r:id="rId475" ref="A520"/>
    <hyperlink r:id="rId476" ref="A522"/>
    <hyperlink r:id="rId477" ref="A523"/>
    <hyperlink r:id="rId478" ref="A524"/>
    <hyperlink r:id="rId479" ref="A525"/>
    <hyperlink r:id="rId480" ref="A526"/>
    <hyperlink r:id="rId481" ref="A527"/>
    <hyperlink r:id="rId482" ref="A528"/>
    <hyperlink r:id="rId483" ref="B528"/>
    <hyperlink r:id="rId484" ref="A529"/>
    <hyperlink r:id="rId485" ref="B529"/>
    <hyperlink r:id="rId486" ref="A530"/>
    <hyperlink r:id="rId487" ref="B530"/>
    <hyperlink r:id="rId488" ref="A531"/>
    <hyperlink r:id="rId489" ref="B531"/>
    <hyperlink r:id="rId490" ref="F531"/>
    <hyperlink r:id="rId491" ref="A532"/>
    <hyperlink r:id="rId492" ref="B532"/>
    <hyperlink r:id="rId493" ref="A533"/>
    <hyperlink r:id="rId494" ref="B533"/>
    <hyperlink r:id="rId495" ref="A534"/>
    <hyperlink r:id="rId496" ref="B534"/>
    <hyperlink r:id="rId497" ref="A535"/>
    <hyperlink r:id="rId498" ref="B535"/>
    <hyperlink r:id="rId499" ref="A536"/>
    <hyperlink r:id="rId500" ref="B536"/>
    <hyperlink r:id="rId501" ref="A537"/>
    <hyperlink r:id="rId502" ref="B537"/>
    <hyperlink r:id="rId503" ref="A538"/>
    <hyperlink r:id="rId504" ref="B538"/>
    <hyperlink r:id="rId505" ref="A539"/>
    <hyperlink r:id="rId506" ref="B539"/>
    <hyperlink r:id="rId507" ref="A540"/>
    <hyperlink r:id="rId508" ref="B540"/>
    <hyperlink r:id="rId509" ref="A541"/>
    <hyperlink r:id="rId510" ref="B541"/>
    <hyperlink r:id="rId511" ref="A542"/>
    <hyperlink r:id="rId512" ref="B542"/>
    <hyperlink r:id="rId513" ref="A543"/>
    <hyperlink r:id="rId514" ref="B543"/>
    <hyperlink r:id="rId515" ref="B544"/>
    <hyperlink r:id="rId516" ref="B545"/>
    <hyperlink r:id="rId517" ref="A546"/>
    <hyperlink r:id="rId518" ref="B546"/>
    <hyperlink r:id="rId519" ref="A547"/>
    <hyperlink r:id="rId520" ref="A548"/>
    <hyperlink r:id="rId521" ref="B548"/>
    <hyperlink r:id="rId522" ref="A549"/>
    <hyperlink r:id="rId523" ref="B549"/>
    <hyperlink r:id="rId524" ref="A550"/>
    <hyperlink r:id="rId525" ref="B550"/>
    <hyperlink r:id="rId526" ref="A551"/>
    <hyperlink r:id="rId527" ref="B551"/>
    <hyperlink r:id="rId528" ref="A552"/>
    <hyperlink r:id="rId529" ref="B552"/>
    <hyperlink r:id="rId530" ref="A553"/>
    <hyperlink r:id="rId531" ref="B553"/>
    <hyperlink r:id="rId532" ref="A554"/>
    <hyperlink r:id="rId533" ref="B554"/>
    <hyperlink r:id="rId534" ref="A555"/>
    <hyperlink r:id="rId535" ref="B555"/>
    <hyperlink r:id="rId536" ref="A556"/>
    <hyperlink r:id="rId537" ref="B556"/>
    <hyperlink r:id="rId538" ref="A557"/>
    <hyperlink r:id="rId539" ref="B557"/>
    <hyperlink r:id="rId540" ref="A558"/>
    <hyperlink r:id="rId541" ref="B558"/>
    <hyperlink r:id="rId542" ref="A559"/>
    <hyperlink r:id="rId543" ref="B559"/>
    <hyperlink r:id="rId544" ref="A560"/>
    <hyperlink r:id="rId545" ref="B560"/>
    <hyperlink r:id="rId546" ref="A561"/>
    <hyperlink r:id="rId547" ref="A562"/>
    <hyperlink r:id="rId548" ref="B562"/>
    <hyperlink r:id="rId549" ref="A563"/>
    <hyperlink r:id="rId550" ref="B563"/>
    <hyperlink r:id="rId551" ref="A564"/>
    <hyperlink r:id="rId552" ref="B564"/>
    <hyperlink r:id="rId553" ref="A565"/>
    <hyperlink r:id="rId554" ref="B565"/>
    <hyperlink r:id="rId555" ref="A566"/>
    <hyperlink r:id="rId556" ref="B566"/>
    <hyperlink r:id="rId557" ref="A567"/>
    <hyperlink r:id="rId558" ref="B567"/>
    <hyperlink r:id="rId559" ref="A568"/>
    <hyperlink r:id="rId560" ref="B568"/>
    <hyperlink r:id="rId561" ref="A569"/>
    <hyperlink r:id="rId562" ref="B569"/>
    <hyperlink r:id="rId563" ref="A570"/>
    <hyperlink r:id="rId564" ref="B570"/>
    <hyperlink r:id="rId565" ref="A571"/>
    <hyperlink r:id="rId566" ref="B571"/>
    <hyperlink r:id="rId567" ref="A572"/>
    <hyperlink r:id="rId568" ref="B572"/>
    <hyperlink r:id="rId569" ref="A573"/>
    <hyperlink r:id="rId570" ref="B573"/>
    <hyperlink r:id="rId571" ref="A574"/>
    <hyperlink r:id="rId572" ref="B574"/>
    <hyperlink r:id="rId573" ref="A575"/>
    <hyperlink r:id="rId574" ref="B575"/>
    <hyperlink r:id="rId575" ref="A576"/>
    <hyperlink r:id="rId576" ref="B576"/>
    <hyperlink r:id="rId577" ref="A577"/>
    <hyperlink r:id="rId578" ref="B577"/>
    <hyperlink r:id="rId579" ref="A578"/>
    <hyperlink r:id="rId580" ref="B578"/>
    <hyperlink r:id="rId581" ref="A579"/>
    <hyperlink r:id="rId582" ref="B579"/>
    <hyperlink r:id="rId583" ref="A580"/>
    <hyperlink r:id="rId584" ref="B580"/>
    <hyperlink r:id="rId585" ref="A581"/>
    <hyperlink r:id="rId586" ref="B581"/>
    <hyperlink r:id="rId587" ref="A582"/>
    <hyperlink r:id="rId588" ref="B582"/>
    <hyperlink r:id="rId589" ref="A583"/>
    <hyperlink r:id="rId590" ref="B583"/>
    <hyperlink r:id="rId591" ref="A584"/>
    <hyperlink r:id="rId592" ref="B584"/>
    <hyperlink r:id="rId593" ref="A585"/>
    <hyperlink r:id="rId594" ref="B585"/>
    <hyperlink r:id="rId595" ref="A586"/>
    <hyperlink r:id="rId596" ref="B586"/>
    <hyperlink r:id="rId597" ref="A587"/>
    <hyperlink r:id="rId598" ref="B587"/>
    <hyperlink r:id="rId599" ref="A588"/>
    <hyperlink r:id="rId600" ref="B588"/>
    <hyperlink r:id="rId601" ref="A589"/>
    <hyperlink r:id="rId602" ref="B589"/>
    <hyperlink r:id="rId603" ref="A590"/>
    <hyperlink r:id="rId604" ref="B590"/>
    <hyperlink r:id="rId605" ref="A591"/>
    <hyperlink r:id="rId606" ref="B591"/>
    <hyperlink r:id="rId607" ref="A592"/>
    <hyperlink r:id="rId608" ref="B592"/>
    <hyperlink r:id="rId609" ref="A593"/>
    <hyperlink r:id="rId610" ref="B593"/>
    <hyperlink r:id="rId611" ref="A594"/>
    <hyperlink r:id="rId612" ref="B594"/>
    <hyperlink r:id="rId613" ref="A595"/>
    <hyperlink r:id="rId614" ref="B595"/>
    <hyperlink r:id="rId615" ref="A596"/>
    <hyperlink r:id="rId616" ref="B596"/>
    <hyperlink r:id="rId617" ref="B597"/>
    <hyperlink r:id="rId618" ref="A598"/>
    <hyperlink r:id="rId619" ref="B598"/>
    <hyperlink r:id="rId620" ref="A599"/>
    <hyperlink r:id="rId621" ref="B599"/>
    <hyperlink r:id="rId622" ref="B600"/>
    <hyperlink r:id="rId623" ref="B601"/>
    <hyperlink r:id="rId624" ref="B602"/>
    <hyperlink r:id="rId625" ref="B603"/>
    <hyperlink r:id="rId626" ref="B604"/>
    <hyperlink r:id="rId627" ref="B605"/>
    <hyperlink r:id="rId628" ref="B606"/>
    <hyperlink r:id="rId629" ref="B607"/>
    <hyperlink r:id="rId630" ref="A609"/>
    <hyperlink r:id="rId631" ref="B609"/>
    <hyperlink r:id="rId632" ref="A610"/>
    <hyperlink r:id="rId633" ref="A611"/>
    <hyperlink r:id="rId634" ref="B611"/>
    <hyperlink r:id="rId635" ref="A612"/>
    <hyperlink r:id="rId636" ref="A613"/>
    <hyperlink r:id="rId637" ref="B613"/>
    <hyperlink r:id="rId638" ref="A614"/>
    <hyperlink r:id="rId639" ref="B614"/>
    <hyperlink r:id="rId640" ref="A615"/>
    <hyperlink r:id="rId641" ref="A616"/>
    <hyperlink r:id="rId642" ref="B616"/>
    <hyperlink r:id="rId643" ref="A617"/>
    <hyperlink r:id="rId644" ref="B617"/>
    <hyperlink r:id="rId645" ref="A618"/>
    <hyperlink r:id="rId646" ref="B618"/>
    <hyperlink r:id="rId647" ref="A619"/>
    <hyperlink r:id="rId648" ref="B619"/>
    <hyperlink r:id="rId649" ref="A620"/>
    <hyperlink r:id="rId650" ref="B620"/>
    <hyperlink r:id="rId651" ref="A621"/>
    <hyperlink r:id="rId652" ref="B621"/>
    <hyperlink r:id="rId653" ref="A622"/>
    <hyperlink r:id="rId654" ref="A623"/>
    <hyperlink r:id="rId655" ref="A624"/>
    <hyperlink r:id="rId656" ref="A625"/>
    <hyperlink r:id="rId657" ref="A626"/>
    <hyperlink r:id="rId658" ref="B626"/>
    <hyperlink r:id="rId659" ref="A627"/>
    <hyperlink r:id="rId660" ref="A628"/>
    <hyperlink r:id="rId661" ref="A629"/>
    <hyperlink r:id="rId662" ref="A630"/>
    <hyperlink r:id="rId663" ref="A631"/>
    <hyperlink r:id="rId664" ref="A632"/>
    <hyperlink r:id="rId665" ref="A633"/>
    <hyperlink r:id="rId666" ref="A634"/>
    <hyperlink r:id="rId667" ref="A635"/>
    <hyperlink r:id="rId668" ref="A636"/>
    <hyperlink r:id="rId669" ref="A637"/>
    <hyperlink r:id="rId670" ref="B637"/>
    <hyperlink r:id="rId671" ref="A638"/>
    <hyperlink r:id="rId672" ref="A639"/>
    <hyperlink r:id="rId673" ref="A640"/>
    <hyperlink r:id="rId674" ref="B640"/>
    <hyperlink r:id="rId675" ref="A641"/>
    <hyperlink r:id="rId676" ref="A642"/>
    <hyperlink r:id="rId677" ref="A643"/>
    <hyperlink r:id="rId678" ref="A644"/>
    <hyperlink r:id="rId679" ref="A645"/>
    <hyperlink r:id="rId680" ref="A646"/>
    <hyperlink r:id="rId681" ref="A647"/>
    <hyperlink r:id="rId682" ref="B647"/>
    <hyperlink r:id="rId683" ref="A648"/>
    <hyperlink r:id="rId684" ref="A649"/>
    <hyperlink r:id="rId685" ref="B649"/>
    <hyperlink r:id="rId686" ref="A650"/>
    <hyperlink r:id="rId687" ref="A651"/>
    <hyperlink r:id="rId688" ref="A652"/>
    <hyperlink r:id="rId689" ref="A653"/>
    <hyperlink r:id="rId690" ref="A654"/>
    <hyperlink r:id="rId691" ref="B654"/>
    <hyperlink r:id="rId692" ref="A655"/>
    <hyperlink r:id="rId693" ref="A656"/>
    <hyperlink r:id="rId694" ref="A657"/>
    <hyperlink r:id="rId695" ref="A658"/>
    <hyperlink r:id="rId696" ref="B658"/>
  </hyperlinks>
  <printOptions/>
  <pageMargins bottom="0.75" footer="0.0" header="0.0" left="0.7" right="0.7" top="0.75"/>
  <pageSetup orientation="landscape"/>
  <headerFooter>
    <oddFooter>&amp;C&amp;P/</oddFooter>
  </headerFooter>
  <drawing r:id="rId697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4.0"/>
    <col customWidth="1" min="2" max="6" width="8.0"/>
  </cols>
  <sheetData>
    <row r="1" ht="12.75" customHeight="1">
      <c r="A1" s="237" t="s">
        <v>5</v>
      </c>
    </row>
    <row r="2" ht="12.75" customHeight="1">
      <c r="A2" s="238" t="s">
        <v>1187</v>
      </c>
    </row>
    <row r="3" ht="12.75" customHeight="1">
      <c r="A3" s="238" t="s">
        <v>1468</v>
      </c>
    </row>
    <row r="4" ht="12.75" customHeight="1">
      <c r="A4" s="238" t="s">
        <v>3070</v>
      </c>
    </row>
    <row r="5" ht="12.75" customHeight="1">
      <c r="A5" s="238" t="s">
        <v>3071</v>
      </c>
    </row>
    <row r="6" ht="12.75" customHeight="1">
      <c r="A6" s="238" t="s">
        <v>734</v>
      </c>
    </row>
    <row r="7" ht="12.75" customHeight="1">
      <c r="A7" s="238" t="s">
        <v>1390</v>
      </c>
    </row>
    <row r="8" ht="12.75" customHeight="1">
      <c r="A8" s="238" t="s">
        <v>3072</v>
      </c>
    </row>
    <row r="9" ht="12.75" customHeight="1">
      <c r="A9" s="238" t="s">
        <v>543</v>
      </c>
    </row>
    <row r="10" ht="12.75" customHeight="1">
      <c r="A10" s="238" t="s">
        <v>674</v>
      </c>
    </row>
    <row r="11" ht="12.75" customHeight="1">
      <c r="A11" s="238" t="s">
        <v>669</v>
      </c>
    </row>
    <row r="12" ht="12.75" customHeight="1">
      <c r="A12" s="238" t="s">
        <v>61</v>
      </c>
    </row>
    <row r="13" ht="12.75" customHeight="1">
      <c r="A13" s="238" t="s">
        <v>283</v>
      </c>
    </row>
    <row r="14" ht="12.75" customHeight="1">
      <c r="A14" s="238" t="s">
        <v>3073</v>
      </c>
    </row>
    <row r="15" ht="12.75" customHeight="1">
      <c r="A15" s="238" t="s">
        <v>47</v>
      </c>
    </row>
    <row r="16" ht="12.75" customHeight="1">
      <c r="A16" s="238" t="s">
        <v>2173</v>
      </c>
    </row>
    <row r="17" ht="12.75" customHeight="1">
      <c r="A17" s="238" t="s">
        <v>52</v>
      </c>
    </row>
    <row r="18" ht="12.75" customHeight="1">
      <c r="A18" s="238" t="s">
        <v>1451</v>
      </c>
    </row>
    <row r="19" ht="12.75" customHeight="1">
      <c r="A19" s="238" t="s">
        <v>747</v>
      </c>
    </row>
    <row r="20" ht="12.75" customHeight="1">
      <c r="A20" s="238" t="s">
        <v>754</v>
      </c>
    </row>
    <row r="21" ht="12.75" customHeight="1">
      <c r="A21" s="238" t="s">
        <v>410</v>
      </c>
    </row>
    <row r="22" ht="12.75" customHeight="1">
      <c r="A22" s="238" t="s">
        <v>3074</v>
      </c>
    </row>
    <row r="23" ht="12.75" customHeight="1">
      <c r="A23" s="238" t="s">
        <v>111</v>
      </c>
    </row>
    <row r="24" ht="12.75" customHeight="1">
      <c r="A24" s="238" t="s">
        <v>3075</v>
      </c>
    </row>
    <row r="25" ht="12.75" customHeight="1">
      <c r="A25" s="238" t="s">
        <v>137</v>
      </c>
    </row>
    <row r="26" ht="12.75" customHeight="1">
      <c r="A26" s="238" t="s">
        <v>3076</v>
      </c>
    </row>
    <row r="27" ht="12.75" customHeight="1">
      <c r="A27" s="238" t="s">
        <v>43</v>
      </c>
    </row>
    <row r="28" ht="12.75" customHeight="1">
      <c r="A28" s="238" t="s">
        <v>23</v>
      </c>
    </row>
    <row r="29" ht="12.75" customHeight="1">
      <c r="A29" s="238" t="s">
        <v>18</v>
      </c>
    </row>
    <row r="30" ht="12.75" customHeight="1">
      <c r="A30" s="238" t="s">
        <v>33</v>
      </c>
    </row>
    <row r="31" ht="12.75" customHeight="1">
      <c r="A31" s="238" t="s">
        <v>38</v>
      </c>
    </row>
    <row r="32" ht="12.75" customHeight="1">
      <c r="A32" s="238" t="s">
        <v>3077</v>
      </c>
    </row>
    <row r="33" ht="12.75" customHeight="1">
      <c r="A33" s="238" t="s">
        <v>3078</v>
      </c>
    </row>
    <row r="34" ht="12.75" customHeight="1">
      <c r="A34" s="238" t="s">
        <v>207</v>
      </c>
    </row>
    <row r="35" ht="12.75" customHeight="1">
      <c r="A35" s="238" t="s">
        <v>70</v>
      </c>
    </row>
    <row r="36" ht="12.75" customHeight="1">
      <c r="A36" s="238" t="s">
        <v>301</v>
      </c>
    </row>
    <row r="37" ht="12.75" customHeight="1">
      <c r="A37" s="238" t="s">
        <v>211</v>
      </c>
    </row>
    <row r="38" ht="12.75" customHeight="1">
      <c r="A38" s="238" t="s">
        <v>347</v>
      </c>
    </row>
    <row r="39" ht="12.75" customHeight="1">
      <c r="A39" s="238" t="s">
        <v>252</v>
      </c>
    </row>
    <row r="40" ht="12.75" customHeight="1">
      <c r="A40" s="238" t="s">
        <v>13</v>
      </c>
    </row>
    <row r="41" ht="12.75" customHeight="1">
      <c r="A41" s="238" t="s">
        <v>814</v>
      </c>
    </row>
    <row r="42" ht="12.75" customHeight="1">
      <c r="A42" s="238" t="s">
        <v>195</v>
      </c>
    </row>
    <row r="43" ht="12.75" customHeight="1">
      <c r="A43" s="238" t="s">
        <v>338</v>
      </c>
    </row>
    <row r="44" ht="12.75" customHeight="1">
      <c r="A44" s="238" t="s">
        <v>386</v>
      </c>
    </row>
    <row r="45" ht="12.75" customHeight="1">
      <c r="A45" s="238" t="s">
        <v>3079</v>
      </c>
    </row>
    <row r="46" ht="12.75" customHeight="1">
      <c r="A46" s="238" t="s">
        <v>276</v>
      </c>
    </row>
    <row r="47" ht="12.75" customHeight="1">
      <c r="A47" s="238" t="s">
        <v>1166</v>
      </c>
    </row>
    <row r="48" ht="12.75" customHeight="1">
      <c r="A48" s="238" t="s">
        <v>3080</v>
      </c>
    </row>
    <row r="49" ht="12.75" customHeight="1">
      <c r="A49" s="238" t="s">
        <v>3081</v>
      </c>
    </row>
    <row r="50" ht="12.75" customHeight="1">
      <c r="A50" s="238" t="s">
        <v>380</v>
      </c>
    </row>
    <row r="51" ht="12.75" customHeight="1">
      <c r="A51" s="238" t="s">
        <v>3082</v>
      </c>
    </row>
    <row r="52" ht="12.75" customHeight="1">
      <c r="A52" s="238" t="s">
        <v>3083</v>
      </c>
    </row>
    <row r="53" ht="12.75" customHeight="1">
      <c r="A53" s="238" t="s">
        <v>96</v>
      </c>
    </row>
    <row r="54" ht="12.75" customHeight="1">
      <c r="A54" s="238" t="s">
        <v>3084</v>
      </c>
    </row>
    <row r="55" ht="12.75" customHeight="1">
      <c r="A55" s="238" t="s">
        <v>234</v>
      </c>
    </row>
    <row r="56" ht="12.75" customHeight="1">
      <c r="A56" s="238" t="s">
        <v>3085</v>
      </c>
    </row>
    <row r="57" ht="12.75" customHeight="1">
      <c r="A57" s="238" t="s">
        <v>3086</v>
      </c>
    </row>
    <row r="58" ht="12.75" customHeight="1">
      <c r="A58" s="238" t="s">
        <v>3087</v>
      </c>
    </row>
    <row r="59" ht="12.75" customHeight="1">
      <c r="A59" s="238" t="s">
        <v>159</v>
      </c>
    </row>
    <row r="60" ht="12.75" customHeight="1">
      <c r="A60" s="238" t="s">
        <v>3088</v>
      </c>
    </row>
    <row r="61" ht="12.75" customHeight="1">
      <c r="A61" s="238" t="s">
        <v>1173</v>
      </c>
    </row>
    <row r="62" ht="12.75" customHeight="1">
      <c r="A62" s="238" t="s">
        <v>167</v>
      </c>
    </row>
    <row r="63" ht="12.75" customHeight="1">
      <c r="A63" s="238" t="s">
        <v>3089</v>
      </c>
    </row>
    <row r="64" ht="12.75" customHeight="1">
      <c r="A64" s="238" t="s">
        <v>767</v>
      </c>
    </row>
    <row r="65" ht="12.75" customHeight="1">
      <c r="A65" s="238" t="s">
        <v>583</v>
      </c>
    </row>
    <row r="66" ht="12.75" customHeight="1">
      <c r="A66" s="238" t="s">
        <v>3090</v>
      </c>
    </row>
    <row r="67" ht="12.75" customHeight="1">
      <c r="A67" s="238" t="s">
        <v>28</v>
      </c>
    </row>
    <row r="68" ht="12.75" customHeight="1">
      <c r="A68" s="238" t="s">
        <v>116</v>
      </c>
    </row>
    <row r="69" ht="12.75" customHeight="1">
      <c r="A69" s="238" t="s">
        <v>2073</v>
      </c>
    </row>
    <row r="70" ht="12.75" customHeight="1">
      <c r="A70" s="238" t="s">
        <v>3091</v>
      </c>
    </row>
    <row r="71" ht="12.75" customHeight="1">
      <c r="A71" s="238" t="s">
        <v>957</v>
      </c>
    </row>
    <row r="72" ht="12.75" customHeight="1">
      <c r="A72" s="238" t="s">
        <v>3092</v>
      </c>
    </row>
    <row r="73" ht="12.75" customHeight="1">
      <c r="A73" s="238" t="s">
        <v>3093</v>
      </c>
    </row>
    <row r="74" ht="12.75" customHeight="1">
      <c r="A74" s="238" t="s">
        <v>1022</v>
      </c>
    </row>
    <row r="75" ht="12.75" customHeight="1">
      <c r="A75" s="238" t="s">
        <v>3094</v>
      </c>
    </row>
    <row r="76" ht="12.75" customHeight="1">
      <c r="A76" s="238" t="s">
        <v>3095</v>
      </c>
    </row>
    <row r="77" ht="12.75" customHeight="1">
      <c r="A77" s="238" t="s">
        <v>3096</v>
      </c>
    </row>
    <row r="78" ht="12.75" customHeight="1">
      <c r="A78" s="238" t="s">
        <v>3097</v>
      </c>
    </row>
    <row r="79" ht="12.75" customHeight="1">
      <c r="A79" s="238" t="s">
        <v>3098</v>
      </c>
    </row>
    <row r="80" ht="12.75" customHeight="1">
      <c r="A80" s="238" t="s">
        <v>3099</v>
      </c>
    </row>
    <row r="81" ht="12.75" customHeight="1">
      <c r="A81" s="238" t="s">
        <v>311</v>
      </c>
    </row>
    <row r="82" ht="12.75" customHeight="1">
      <c r="A82" s="238" t="s">
        <v>3100</v>
      </c>
    </row>
    <row r="83" ht="12.75" customHeight="1">
      <c r="A83" s="238" t="s">
        <v>56</v>
      </c>
    </row>
    <row r="84" ht="12.75" customHeight="1">
      <c r="A84" s="238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10.29"/>
    <col customWidth="1" min="2" max="2" width="45.71"/>
    <col customWidth="1" min="3" max="3" width="17.71"/>
    <col customWidth="1" min="4" max="4" width="38.0"/>
    <col customWidth="1" min="5" max="5" width="20.43"/>
    <col customWidth="1" min="6" max="6" width="17.29"/>
    <col customWidth="1" min="7" max="7" width="12.14"/>
    <col customWidth="1" min="8" max="8" width="9.14"/>
    <col customWidth="1" min="9" max="26" width="8.0"/>
  </cols>
  <sheetData>
    <row r="1" ht="26.25" customHeight="1">
      <c r="A1" s="239" t="s">
        <v>0</v>
      </c>
      <c r="B1" s="240"/>
      <c r="C1" s="240"/>
      <c r="D1" s="240"/>
      <c r="E1" s="240"/>
      <c r="F1" s="240"/>
      <c r="G1" s="240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5" t="s">
        <v>1</v>
      </c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2.75" customHeight="1">
      <c r="A3" s="9" t="s">
        <v>2</v>
      </c>
      <c r="H3" s="1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0" customHeight="1">
      <c r="A4" s="241"/>
      <c r="B4" s="12"/>
      <c r="C4" s="242"/>
      <c r="D4" s="243"/>
      <c r="E4" s="243"/>
      <c r="F4" s="243"/>
      <c r="G4" s="24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25" t="s">
        <v>3</v>
      </c>
      <c r="B5" s="244" t="s">
        <v>4</v>
      </c>
      <c r="C5" s="245" t="s">
        <v>5</v>
      </c>
      <c r="D5" s="245" t="s">
        <v>6</v>
      </c>
      <c r="E5" s="245" t="s">
        <v>7</v>
      </c>
      <c r="F5" s="245" t="s">
        <v>8</v>
      </c>
      <c r="G5" s="246" t="s">
        <v>9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ht="22.5" customHeight="1">
      <c r="A6" s="247" t="s">
        <v>10</v>
      </c>
      <c r="B6" s="248" t="s">
        <v>11</v>
      </c>
      <c r="C6" s="249"/>
      <c r="D6" s="249"/>
      <c r="E6" s="249"/>
      <c r="F6" s="249"/>
      <c r="G6" s="24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ht="15.0" customHeight="1">
      <c r="B7" s="250"/>
      <c r="C7" s="251"/>
      <c r="D7" s="251"/>
      <c r="E7" s="251"/>
      <c r="F7" s="251"/>
      <c r="G7" s="25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15.0" customHeight="1">
      <c r="A8" s="252"/>
      <c r="B8" s="253"/>
      <c r="C8" s="137"/>
      <c r="D8" s="137"/>
      <c r="E8" s="137"/>
      <c r="F8" s="137"/>
      <c r="G8" s="13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71.25" customHeight="1">
      <c r="A9" s="168" t="s">
        <v>3101</v>
      </c>
      <c r="B9" s="250" t="s">
        <v>3102</v>
      </c>
      <c r="C9" s="38"/>
      <c r="D9" s="38" t="s">
        <v>3103</v>
      </c>
      <c r="E9" s="38" t="s">
        <v>3104</v>
      </c>
      <c r="F9" s="38" t="s">
        <v>3105</v>
      </c>
      <c r="G9" s="38">
        <v>1998.0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ht="57.0" customHeight="1">
      <c r="A10" s="166" t="s">
        <v>3106</v>
      </c>
      <c r="B10" s="253" t="s">
        <v>3107</v>
      </c>
      <c r="C10" s="137"/>
      <c r="D10" s="137" t="s">
        <v>3108</v>
      </c>
      <c r="E10" s="137" t="s">
        <v>3109</v>
      </c>
      <c r="F10" s="137" t="s">
        <v>3105</v>
      </c>
      <c r="G10" s="137">
        <v>1998.0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15.0" customHeight="1">
      <c r="A11" s="254"/>
      <c r="B11" s="250"/>
      <c r="C11" s="38"/>
      <c r="D11" s="38"/>
      <c r="E11" s="38"/>
      <c r="F11" s="38"/>
      <c r="G11" s="3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ht="42.75" customHeight="1">
      <c r="A12" s="166" t="s">
        <v>3110</v>
      </c>
      <c r="B12" s="136" t="s">
        <v>3111</v>
      </c>
      <c r="C12" s="137"/>
      <c r="D12" s="137"/>
      <c r="E12" s="137" t="s">
        <v>3112</v>
      </c>
      <c r="F12" s="137" t="s">
        <v>41</v>
      </c>
      <c r="G12" s="137">
        <v>2000.0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ht="42.75" customHeight="1">
      <c r="A13" s="168" t="s">
        <v>3113</v>
      </c>
      <c r="B13" s="119" t="s">
        <v>3114</v>
      </c>
      <c r="C13" s="38"/>
      <c r="D13" s="38"/>
      <c r="E13" s="38" t="s">
        <v>3115</v>
      </c>
      <c r="F13" s="38" t="s">
        <v>41</v>
      </c>
      <c r="G13" s="38">
        <v>1999.0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15.0" customHeight="1">
      <c r="A14" s="255"/>
      <c r="B14" s="136"/>
      <c r="C14" s="137"/>
      <c r="D14" s="137"/>
      <c r="E14" s="137"/>
      <c r="F14" s="137"/>
      <c r="G14" s="137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28.5" customHeight="1">
      <c r="A15" s="168" t="s">
        <v>3116</v>
      </c>
      <c r="B15" s="119" t="s">
        <v>3117</v>
      </c>
      <c r="C15" s="38"/>
      <c r="D15" s="38" t="s">
        <v>3118</v>
      </c>
      <c r="E15" s="38" t="s">
        <v>3119</v>
      </c>
      <c r="F15" s="38" t="s">
        <v>3120</v>
      </c>
      <c r="G15" s="38">
        <v>2000.0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42.75" customHeight="1">
      <c r="A16" s="166" t="s">
        <v>3121</v>
      </c>
      <c r="B16" s="136" t="s">
        <v>3122</v>
      </c>
      <c r="C16" s="137"/>
      <c r="D16" s="137"/>
      <c r="E16" s="137" t="s">
        <v>26</v>
      </c>
      <c r="F16" s="137" t="s">
        <v>123</v>
      </c>
      <c r="G16" s="137">
        <v>2000.0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15.0" customHeight="1">
      <c r="A17" s="256"/>
      <c r="B17" s="119"/>
      <c r="C17" s="38"/>
      <c r="D17" s="38"/>
      <c r="E17" s="38"/>
      <c r="F17" s="38"/>
      <c r="G17" s="3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36.0" customHeight="1">
      <c r="A18" s="166" t="s">
        <v>3123</v>
      </c>
      <c r="B18" s="136" t="s">
        <v>3124</v>
      </c>
      <c r="C18" s="137"/>
      <c r="D18" s="137"/>
      <c r="E18" s="137" t="s">
        <v>356</v>
      </c>
      <c r="F18" s="137" t="s">
        <v>3125</v>
      </c>
      <c r="G18" s="137">
        <v>2001.0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48.75" customHeight="1">
      <c r="A19" s="168" t="s">
        <v>3126</v>
      </c>
      <c r="B19" s="119" t="s">
        <v>3127</v>
      </c>
      <c r="C19" s="38"/>
      <c r="D19" s="38"/>
      <c r="E19" s="38" t="s">
        <v>3128</v>
      </c>
      <c r="F19" s="38" t="s">
        <v>162</v>
      </c>
      <c r="G19" s="38">
        <v>2001.0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ht="48.75" customHeight="1">
      <c r="A20" s="166" t="s">
        <v>3129</v>
      </c>
      <c r="B20" s="136" t="s">
        <v>3130</v>
      </c>
      <c r="C20" s="137"/>
      <c r="D20" s="137" t="s">
        <v>3131</v>
      </c>
      <c r="E20" s="137" t="s">
        <v>3132</v>
      </c>
      <c r="F20" s="137" t="s">
        <v>3133</v>
      </c>
      <c r="G20" s="137">
        <v>2001.0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45.75" customHeight="1">
      <c r="A21" s="168" t="s">
        <v>3134</v>
      </c>
      <c r="B21" s="119" t="s">
        <v>3135</v>
      </c>
      <c r="C21" s="38"/>
      <c r="D21" s="38" t="s">
        <v>3136</v>
      </c>
      <c r="E21" s="38" t="s">
        <v>3137</v>
      </c>
      <c r="F21" s="38" t="s">
        <v>3138</v>
      </c>
      <c r="G21" s="38">
        <v>2001.0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39.0" customHeight="1">
      <c r="A22" s="166" t="s">
        <v>3139</v>
      </c>
      <c r="B22" s="136" t="s">
        <v>3140</v>
      </c>
      <c r="C22" s="137"/>
      <c r="D22" s="137"/>
      <c r="E22" s="137" t="s">
        <v>3141</v>
      </c>
      <c r="F22" s="137" t="s">
        <v>3142</v>
      </c>
      <c r="G22" s="137">
        <v>2001.0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42.75" customHeight="1">
      <c r="A23" s="168" t="s">
        <v>3143</v>
      </c>
      <c r="B23" s="119" t="s">
        <v>3144</v>
      </c>
      <c r="C23" s="38"/>
      <c r="D23" s="38" t="s">
        <v>3145</v>
      </c>
      <c r="E23" s="38" t="s">
        <v>3146</v>
      </c>
      <c r="F23" s="38" t="s">
        <v>41</v>
      </c>
      <c r="G23" s="38">
        <v>2001.0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37.5" customHeight="1">
      <c r="A24" s="166" t="s">
        <v>3147</v>
      </c>
      <c r="B24" s="136" t="s">
        <v>3148</v>
      </c>
      <c r="C24" s="137"/>
      <c r="D24" s="137"/>
      <c r="E24" s="137" t="s">
        <v>3149</v>
      </c>
      <c r="F24" s="137" t="s">
        <v>162</v>
      </c>
      <c r="G24" s="137">
        <v>2001.0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63.75" customHeight="1">
      <c r="A25" s="168" t="s">
        <v>3150</v>
      </c>
      <c r="B25" s="119" t="s">
        <v>3151</v>
      </c>
      <c r="C25" s="38"/>
      <c r="D25" s="38" t="s">
        <v>3152</v>
      </c>
      <c r="E25" s="38" t="s">
        <v>3153</v>
      </c>
      <c r="F25" s="38" t="s">
        <v>3154</v>
      </c>
      <c r="G25" s="38">
        <v>2001.0</v>
      </c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</row>
    <row r="26" ht="14.25" customHeight="1">
      <c r="A26" s="258" t="s">
        <v>3155</v>
      </c>
      <c r="B26" s="136"/>
      <c r="C26" s="137"/>
      <c r="D26" s="137"/>
      <c r="E26" s="137"/>
      <c r="F26" s="137"/>
      <c r="G26" s="137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42.75" customHeight="1">
      <c r="A27" s="168" t="s">
        <v>3156</v>
      </c>
      <c r="B27" s="119" t="s">
        <v>3157</v>
      </c>
      <c r="C27" s="38"/>
      <c r="D27" s="38"/>
      <c r="E27" s="38" t="s">
        <v>3158</v>
      </c>
      <c r="F27" s="38" t="s">
        <v>3159</v>
      </c>
      <c r="G27" s="38">
        <v>2001.0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57.0" customHeight="1">
      <c r="A28" s="166" t="s">
        <v>3160</v>
      </c>
      <c r="B28" s="136" t="s">
        <v>3161</v>
      </c>
      <c r="C28" s="137"/>
      <c r="D28" s="137"/>
      <c r="E28" s="137"/>
      <c r="F28" s="137" t="s">
        <v>3162</v>
      </c>
      <c r="G28" s="137">
        <v>2001.0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53.25" customHeight="1">
      <c r="A29" s="168" t="s">
        <v>3163</v>
      </c>
      <c r="B29" s="119" t="s">
        <v>3164</v>
      </c>
      <c r="C29" s="38"/>
      <c r="D29" s="38"/>
      <c r="E29" s="38" t="s">
        <v>3165</v>
      </c>
      <c r="F29" s="38" t="s">
        <v>50</v>
      </c>
      <c r="G29" s="38">
        <v>2001.0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51.0" customHeight="1">
      <c r="A30" s="166" t="s">
        <v>3166</v>
      </c>
      <c r="B30" s="136" t="s">
        <v>3167</v>
      </c>
      <c r="C30" s="137"/>
      <c r="D30" s="137"/>
      <c r="E30" s="137" t="s">
        <v>3168</v>
      </c>
      <c r="F30" s="137" t="s">
        <v>3169</v>
      </c>
      <c r="G30" s="137">
        <v>2001.0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72.0" customHeight="1">
      <c r="A31" s="168" t="s">
        <v>3170</v>
      </c>
      <c r="B31" s="119" t="s">
        <v>3171</v>
      </c>
      <c r="C31" s="38"/>
      <c r="D31" s="38"/>
      <c r="E31" s="38" t="s">
        <v>3172</v>
      </c>
      <c r="F31" s="38" t="s">
        <v>3173</v>
      </c>
      <c r="G31" s="38">
        <v>2001.0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51.0" customHeight="1">
      <c r="A32" s="166" t="s">
        <v>3174</v>
      </c>
      <c r="B32" s="136" t="s">
        <v>3175</v>
      </c>
      <c r="C32" s="137"/>
      <c r="D32" s="137"/>
      <c r="E32" s="137" t="s">
        <v>3176</v>
      </c>
      <c r="F32" s="137" t="s">
        <v>473</v>
      </c>
      <c r="G32" s="137">
        <v>2001.0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38.25" customHeight="1">
      <c r="A33" s="168" t="s">
        <v>3177</v>
      </c>
      <c r="B33" s="119" t="s">
        <v>3178</v>
      </c>
      <c r="C33" s="38"/>
      <c r="D33" s="38"/>
      <c r="E33" s="38" t="s">
        <v>3179</v>
      </c>
      <c r="F33" s="38" t="s">
        <v>3180</v>
      </c>
      <c r="G33" s="38">
        <v>2001.0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42.75" customHeight="1">
      <c r="A34" s="166" t="s">
        <v>3181</v>
      </c>
      <c r="B34" s="136" t="s">
        <v>3182</v>
      </c>
      <c r="C34" s="137"/>
      <c r="D34" s="137" t="s">
        <v>3183</v>
      </c>
      <c r="E34" s="137" t="s">
        <v>3184</v>
      </c>
      <c r="F34" s="137" t="s">
        <v>3169</v>
      </c>
      <c r="G34" s="137">
        <v>2001.0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4.25" customHeight="1">
      <c r="A35" s="259"/>
      <c r="B35" s="119"/>
      <c r="C35" s="38"/>
      <c r="D35" s="38"/>
      <c r="E35" s="38"/>
      <c r="F35" s="38"/>
      <c r="G35" s="3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71.25" customHeight="1">
      <c r="A36" s="166" t="s">
        <v>3185</v>
      </c>
      <c r="B36" s="136" t="s">
        <v>3186</v>
      </c>
      <c r="C36" s="137"/>
      <c r="D36" s="137" t="s">
        <v>3187</v>
      </c>
      <c r="E36" s="137" t="s">
        <v>3188</v>
      </c>
      <c r="F36" s="137" t="s">
        <v>50</v>
      </c>
      <c r="G36" s="137">
        <v>2002.0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63.75" customHeight="1">
      <c r="A37" s="168" t="s">
        <v>3189</v>
      </c>
      <c r="B37" s="119" t="s">
        <v>3190</v>
      </c>
      <c r="C37" s="38"/>
      <c r="D37" s="38" t="s">
        <v>3191</v>
      </c>
      <c r="E37" s="38" t="s">
        <v>3192</v>
      </c>
      <c r="F37" s="38" t="s">
        <v>26</v>
      </c>
      <c r="G37" s="38">
        <v>2002.0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38.25" customHeight="1">
      <c r="A38" s="166" t="s">
        <v>3193</v>
      </c>
      <c r="B38" s="136" t="s">
        <v>3194</v>
      </c>
      <c r="C38" s="137"/>
      <c r="D38" s="137"/>
      <c r="E38" s="137" t="s">
        <v>3195</v>
      </c>
      <c r="F38" s="137" t="s">
        <v>3196</v>
      </c>
      <c r="G38" s="137">
        <v>2002.0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28.5" customHeight="1">
      <c r="A39" s="176" t="s">
        <v>3197</v>
      </c>
      <c r="B39" s="119" t="s">
        <v>3198</v>
      </c>
      <c r="C39" s="38"/>
      <c r="D39" s="38"/>
      <c r="E39" s="38" t="s">
        <v>3199</v>
      </c>
      <c r="F39" s="38" t="s">
        <v>180</v>
      </c>
      <c r="G39" s="38">
        <v>2002.0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51.0" customHeight="1">
      <c r="A40" s="166" t="s">
        <v>3200</v>
      </c>
      <c r="B40" s="136" t="s">
        <v>3201</v>
      </c>
      <c r="C40" s="137"/>
      <c r="D40" s="137" t="s">
        <v>3202</v>
      </c>
      <c r="E40" s="137" t="s">
        <v>3203</v>
      </c>
      <c r="F40" s="137" t="s">
        <v>3204</v>
      </c>
      <c r="G40" s="137">
        <v>2003.0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57.0" customHeight="1">
      <c r="A41" s="168" t="s">
        <v>3205</v>
      </c>
      <c r="B41" s="119" t="s">
        <v>3206</v>
      </c>
      <c r="C41" s="38"/>
      <c r="D41" s="38" t="s">
        <v>3207</v>
      </c>
      <c r="E41" s="38" t="s">
        <v>3208</v>
      </c>
      <c r="F41" s="38" t="s">
        <v>3209</v>
      </c>
      <c r="G41" s="38">
        <v>2003.0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42.75" customHeight="1">
      <c r="A42" s="166" t="s">
        <v>3210</v>
      </c>
      <c r="B42" s="136" t="s">
        <v>3211</v>
      </c>
      <c r="C42" s="137"/>
      <c r="D42" s="137" t="s">
        <v>3212</v>
      </c>
      <c r="E42" s="137" t="s">
        <v>3213</v>
      </c>
      <c r="F42" s="137" t="s">
        <v>3214</v>
      </c>
      <c r="G42" s="137">
        <v>2003.0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4.25" customHeight="1">
      <c r="A43" s="168"/>
      <c r="B43" s="119"/>
      <c r="C43" s="38"/>
      <c r="D43" s="38"/>
      <c r="E43" s="38"/>
      <c r="F43" s="38"/>
      <c r="G43" s="38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38.25" customHeight="1">
      <c r="A44" s="166" t="s">
        <v>3215</v>
      </c>
      <c r="B44" s="136" t="s">
        <v>3216</v>
      </c>
      <c r="C44" s="137"/>
      <c r="D44" s="137"/>
      <c r="E44" s="137" t="s">
        <v>3217</v>
      </c>
      <c r="F44" s="137" t="s">
        <v>109</v>
      </c>
      <c r="G44" s="137">
        <v>2003.0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74.25" customHeight="1">
      <c r="A45" s="168" t="s">
        <v>3218</v>
      </c>
      <c r="B45" s="119" t="s">
        <v>3219</v>
      </c>
      <c r="C45" s="38"/>
      <c r="D45" s="38" t="s">
        <v>3220</v>
      </c>
      <c r="E45" s="38" t="s">
        <v>3221</v>
      </c>
      <c r="F45" s="38" t="s">
        <v>3209</v>
      </c>
      <c r="G45" s="38">
        <v>2003.0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4.25" customHeight="1">
      <c r="A46" s="258" t="s">
        <v>3222</v>
      </c>
      <c r="B46" s="136"/>
      <c r="C46" s="137"/>
      <c r="D46" s="137"/>
      <c r="E46" s="137"/>
      <c r="F46" s="137"/>
      <c r="G46" s="137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4.25" customHeight="1">
      <c r="A47" s="259" t="s">
        <v>3223</v>
      </c>
      <c r="B47" s="119"/>
      <c r="C47" s="38"/>
      <c r="D47" s="38"/>
      <c r="E47" s="38"/>
      <c r="F47" s="38"/>
      <c r="G47" s="38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5.75" customHeight="1">
      <c r="A48" s="258"/>
      <c r="B48" s="136"/>
      <c r="C48" s="137"/>
      <c r="D48" s="137"/>
      <c r="E48" s="137"/>
      <c r="F48" s="137"/>
      <c r="G48" s="137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4.25" customHeight="1">
      <c r="A49" s="259"/>
      <c r="B49" s="119"/>
      <c r="C49" s="38"/>
      <c r="D49" s="38"/>
      <c r="E49" s="38"/>
      <c r="F49" s="38"/>
      <c r="G49" s="38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4.25" customHeight="1">
      <c r="A50" s="258"/>
      <c r="B50" s="136"/>
      <c r="C50" s="137"/>
      <c r="D50" s="137"/>
      <c r="E50" s="137"/>
      <c r="F50" s="137"/>
      <c r="G50" s="137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4.25" customHeight="1">
      <c r="A51" s="259"/>
      <c r="B51" s="119"/>
      <c r="C51" s="38"/>
      <c r="D51" s="38"/>
      <c r="E51" s="38"/>
      <c r="F51" s="38"/>
      <c r="G51" s="38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4.25" customHeight="1">
      <c r="A52" s="258"/>
      <c r="B52" s="136"/>
      <c r="C52" s="137"/>
      <c r="D52" s="137"/>
      <c r="E52" s="137"/>
      <c r="F52" s="137"/>
      <c r="G52" s="137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4.25" customHeight="1">
      <c r="A53" s="259"/>
      <c r="B53" s="119"/>
      <c r="C53" s="38"/>
      <c r="D53" s="38"/>
      <c r="E53" s="38"/>
      <c r="F53" s="38"/>
      <c r="G53" s="3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4.25" customHeight="1">
      <c r="A54" s="258"/>
      <c r="B54" s="136"/>
      <c r="C54" s="137"/>
      <c r="D54" s="137"/>
      <c r="E54" s="137"/>
      <c r="F54" s="137"/>
      <c r="G54" s="137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4.25" customHeight="1">
      <c r="A55" s="259"/>
      <c r="B55" s="119"/>
      <c r="C55" s="38"/>
      <c r="D55" s="38"/>
      <c r="E55" s="38"/>
      <c r="F55" s="38"/>
      <c r="G55" s="38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4.25" customHeight="1">
      <c r="A56" s="258"/>
      <c r="B56" s="136"/>
      <c r="C56" s="137"/>
      <c r="D56" s="137"/>
      <c r="E56" s="137"/>
      <c r="F56" s="137"/>
      <c r="G56" s="137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4.25" customHeight="1">
      <c r="A57" s="259"/>
      <c r="B57" s="119"/>
      <c r="C57" s="38"/>
      <c r="D57" s="38"/>
      <c r="E57" s="38"/>
      <c r="F57" s="38"/>
      <c r="G57" s="38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4.25" customHeight="1">
      <c r="A58" s="258"/>
      <c r="B58" s="136"/>
      <c r="C58" s="137"/>
      <c r="D58" s="137"/>
      <c r="E58" s="137"/>
      <c r="F58" s="137"/>
      <c r="G58" s="137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4.25" customHeight="1">
      <c r="A59" s="259"/>
      <c r="B59" s="119"/>
      <c r="C59" s="38"/>
      <c r="D59" s="38"/>
      <c r="E59" s="38"/>
      <c r="F59" s="38"/>
      <c r="G59" s="38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4.25" customHeight="1">
      <c r="A60" s="258"/>
      <c r="B60" s="136"/>
      <c r="C60" s="137"/>
      <c r="D60" s="137"/>
      <c r="E60" s="137"/>
      <c r="F60" s="137"/>
      <c r="G60" s="137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4.25" customHeight="1">
      <c r="A61" s="259"/>
      <c r="B61" s="119"/>
      <c r="C61" s="38"/>
      <c r="D61" s="38"/>
      <c r="E61" s="38"/>
      <c r="F61" s="38"/>
      <c r="G61" s="38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4.25" customHeight="1">
      <c r="A62" s="258"/>
      <c r="B62" s="136"/>
      <c r="C62" s="137"/>
      <c r="D62" s="137"/>
      <c r="E62" s="137"/>
      <c r="F62" s="137"/>
      <c r="G62" s="137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4.25" customHeight="1">
      <c r="A63" s="259"/>
      <c r="B63" s="119"/>
      <c r="C63" s="38"/>
      <c r="D63" s="38"/>
      <c r="E63" s="38"/>
      <c r="F63" s="38"/>
      <c r="G63" s="38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4.25" customHeight="1">
      <c r="A64" s="258"/>
      <c r="B64" s="136"/>
      <c r="C64" s="137"/>
      <c r="D64" s="137"/>
      <c r="E64" s="137"/>
      <c r="F64" s="137"/>
      <c r="G64" s="137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4.25" customHeight="1">
      <c r="A65" s="259"/>
      <c r="B65" s="119"/>
      <c r="C65" s="38"/>
      <c r="D65" s="38"/>
      <c r="E65" s="38"/>
      <c r="F65" s="38"/>
      <c r="G65" s="38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4.25" customHeight="1">
      <c r="A66" s="258"/>
      <c r="B66" s="136"/>
      <c r="C66" s="137"/>
      <c r="D66" s="137"/>
      <c r="E66" s="137"/>
      <c r="F66" s="137"/>
      <c r="G66" s="137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4.25" customHeight="1">
      <c r="A67" s="259"/>
      <c r="B67" s="119"/>
      <c r="C67" s="38"/>
      <c r="D67" s="38"/>
      <c r="E67" s="38"/>
      <c r="F67" s="38"/>
      <c r="G67" s="38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4.25" customHeight="1">
      <c r="A68" s="258"/>
      <c r="B68" s="136"/>
      <c r="C68" s="137"/>
      <c r="D68" s="137"/>
      <c r="E68" s="137"/>
      <c r="F68" s="137"/>
      <c r="G68" s="137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4.25" customHeight="1">
      <c r="A69" s="259"/>
      <c r="B69" s="119"/>
      <c r="C69" s="38"/>
      <c r="D69" s="38"/>
      <c r="E69" s="38"/>
      <c r="F69" s="38"/>
      <c r="G69" s="38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4.25" customHeight="1">
      <c r="A70" s="258"/>
      <c r="B70" s="136"/>
      <c r="C70" s="137"/>
      <c r="D70" s="137"/>
      <c r="E70" s="137"/>
      <c r="F70" s="137"/>
      <c r="G70" s="137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4.25" customHeight="1">
      <c r="A71" s="259"/>
      <c r="B71" s="119"/>
      <c r="C71" s="38"/>
      <c r="D71" s="38"/>
      <c r="E71" s="38"/>
      <c r="F71" s="38"/>
      <c r="G71" s="38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4.25" customHeight="1">
      <c r="A72" s="258"/>
      <c r="B72" s="136"/>
      <c r="C72" s="137"/>
      <c r="D72" s="137"/>
      <c r="E72" s="137"/>
      <c r="F72" s="137"/>
      <c r="G72" s="137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4.25" customHeight="1">
      <c r="A73" s="259"/>
      <c r="B73" s="119"/>
      <c r="C73" s="38"/>
      <c r="D73" s="38"/>
      <c r="E73" s="38"/>
      <c r="F73" s="38"/>
      <c r="G73" s="38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4.25" customHeight="1">
      <c r="A74" s="258"/>
      <c r="B74" s="136"/>
      <c r="C74" s="137"/>
      <c r="D74" s="137"/>
      <c r="E74" s="137"/>
      <c r="F74" s="137"/>
      <c r="G74" s="137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4.25" customHeight="1">
      <c r="A75" s="259"/>
      <c r="B75" s="119"/>
      <c r="C75" s="38"/>
      <c r="D75" s="38"/>
      <c r="E75" s="38"/>
      <c r="F75" s="38"/>
      <c r="G75" s="38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4.25" customHeight="1">
      <c r="A76" s="258"/>
      <c r="B76" s="136"/>
      <c r="C76" s="137"/>
      <c r="D76" s="137"/>
      <c r="E76" s="137"/>
      <c r="F76" s="137"/>
      <c r="G76" s="137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4.25" customHeight="1">
      <c r="A77" s="259"/>
      <c r="B77" s="119"/>
      <c r="C77" s="38"/>
      <c r="D77" s="38"/>
      <c r="E77" s="38"/>
      <c r="F77" s="38"/>
      <c r="G77" s="38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4.25" customHeight="1">
      <c r="A78" s="259"/>
      <c r="B78" s="119"/>
      <c r="C78" s="38"/>
      <c r="D78" s="38"/>
      <c r="E78" s="38"/>
      <c r="F78" s="38"/>
      <c r="G78" s="38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4.25" customHeight="1">
      <c r="A79" s="259"/>
      <c r="B79" s="119"/>
      <c r="C79" s="38"/>
      <c r="D79" s="38"/>
      <c r="E79" s="38"/>
      <c r="F79" s="38"/>
      <c r="G79" s="38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4.25" customHeight="1">
      <c r="A80" s="259"/>
      <c r="B80" s="119"/>
      <c r="C80" s="38"/>
      <c r="D80" s="38"/>
      <c r="E80" s="38"/>
      <c r="F80" s="38"/>
      <c r="G80" s="38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4.25" customHeight="1">
      <c r="A81" s="259"/>
      <c r="B81" s="119"/>
      <c r="C81" s="38"/>
      <c r="D81" s="38"/>
      <c r="E81" s="38"/>
      <c r="F81" s="38"/>
      <c r="G81" s="38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4.25" customHeight="1">
      <c r="A82" s="259"/>
      <c r="B82" s="119"/>
      <c r="C82" s="38"/>
      <c r="D82" s="38"/>
      <c r="E82" s="38"/>
      <c r="F82" s="38"/>
      <c r="G82" s="38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4.25" customHeight="1">
      <c r="A83" s="259"/>
      <c r="B83" s="119"/>
      <c r="C83" s="38"/>
      <c r="D83" s="38"/>
      <c r="E83" s="38"/>
      <c r="F83" s="38"/>
      <c r="G83" s="38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4.25" customHeight="1">
      <c r="A84" s="259"/>
      <c r="B84" s="119"/>
      <c r="C84" s="38"/>
      <c r="D84" s="38"/>
      <c r="E84" s="38"/>
      <c r="F84" s="38"/>
      <c r="G84" s="38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4.25" customHeight="1">
      <c r="A85" s="259"/>
      <c r="B85" s="119"/>
      <c r="C85" s="38"/>
      <c r="D85" s="38"/>
      <c r="E85" s="38"/>
      <c r="F85" s="38"/>
      <c r="G85" s="38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4.25" customHeight="1">
      <c r="A86" s="259"/>
      <c r="B86" s="119"/>
      <c r="C86" s="38"/>
      <c r="D86" s="38"/>
      <c r="E86" s="38"/>
      <c r="F86" s="38"/>
      <c r="G86" s="38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4.25" customHeight="1">
      <c r="A87" s="259"/>
      <c r="B87" s="119"/>
      <c r="C87" s="38"/>
      <c r="D87" s="38"/>
      <c r="E87" s="38"/>
      <c r="F87" s="38"/>
      <c r="G87" s="38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4.25" customHeight="1">
      <c r="A88" s="259"/>
      <c r="B88" s="119"/>
      <c r="C88" s="38"/>
      <c r="D88" s="38"/>
      <c r="E88" s="38"/>
      <c r="F88" s="38"/>
      <c r="G88" s="38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4.25" customHeight="1">
      <c r="A89" s="259"/>
      <c r="B89" s="119"/>
      <c r="C89" s="38"/>
      <c r="D89" s="38"/>
      <c r="E89" s="38"/>
      <c r="F89" s="38"/>
      <c r="G89" s="38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4.25" customHeight="1">
      <c r="A90" s="259"/>
      <c r="B90" s="119"/>
      <c r="C90" s="38"/>
      <c r="D90" s="38"/>
      <c r="E90" s="38"/>
      <c r="F90" s="38"/>
      <c r="G90" s="38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4.25" customHeight="1">
      <c r="A91" s="259"/>
      <c r="B91" s="119"/>
      <c r="C91" s="38"/>
      <c r="D91" s="38"/>
      <c r="E91" s="38"/>
      <c r="F91" s="38"/>
      <c r="G91" s="38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4.25" customHeight="1">
      <c r="A92" s="259"/>
      <c r="B92" s="119"/>
      <c r="C92" s="38"/>
      <c r="D92" s="38"/>
      <c r="E92" s="38"/>
      <c r="F92" s="38"/>
      <c r="G92" s="38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4.25" customHeight="1">
      <c r="A93" s="259"/>
      <c r="B93" s="119"/>
      <c r="C93" s="38"/>
      <c r="D93" s="38"/>
      <c r="E93" s="38"/>
      <c r="F93" s="38"/>
      <c r="G93" s="38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4.25" customHeight="1">
      <c r="A94" s="259"/>
      <c r="B94" s="119"/>
      <c r="C94" s="38"/>
      <c r="D94" s="38"/>
      <c r="E94" s="38"/>
      <c r="F94" s="38"/>
      <c r="G94" s="38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4.25" customHeight="1">
      <c r="A95" s="259"/>
      <c r="B95" s="119"/>
      <c r="C95" s="38"/>
      <c r="D95" s="38"/>
      <c r="E95" s="38"/>
      <c r="F95" s="38"/>
      <c r="G95" s="38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4.25" customHeight="1">
      <c r="A96" s="259"/>
      <c r="B96" s="119"/>
      <c r="C96" s="38"/>
      <c r="D96" s="38"/>
      <c r="E96" s="38"/>
      <c r="F96" s="38"/>
      <c r="G96" s="38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4.25" customHeight="1">
      <c r="A97" s="259"/>
      <c r="B97" s="119"/>
      <c r="C97" s="38"/>
      <c r="D97" s="38"/>
      <c r="E97" s="38"/>
      <c r="F97" s="38"/>
      <c r="G97" s="38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4.25" customHeight="1">
      <c r="A98" s="259"/>
      <c r="B98" s="119"/>
      <c r="C98" s="38"/>
      <c r="D98" s="38"/>
      <c r="E98" s="38"/>
      <c r="F98" s="38"/>
      <c r="G98" s="38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4.25" customHeight="1">
      <c r="A99" s="259"/>
      <c r="B99" s="119"/>
      <c r="C99" s="38"/>
      <c r="D99" s="38"/>
      <c r="E99" s="38"/>
      <c r="F99" s="38"/>
      <c r="G99" s="38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4.25" customHeight="1">
      <c r="A100" s="259"/>
      <c r="B100" s="119"/>
      <c r="C100" s="38"/>
      <c r="D100" s="38"/>
      <c r="E100" s="38"/>
      <c r="F100" s="38"/>
      <c r="G100" s="38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4.25" customHeight="1">
      <c r="A101" s="259"/>
      <c r="B101" s="119"/>
      <c r="C101" s="38"/>
      <c r="D101" s="38"/>
      <c r="E101" s="38"/>
      <c r="F101" s="38"/>
      <c r="G101" s="38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4.25" customHeight="1">
      <c r="A102" s="259"/>
      <c r="B102" s="119"/>
      <c r="C102" s="38"/>
      <c r="D102" s="38"/>
      <c r="E102" s="38"/>
      <c r="F102" s="38"/>
      <c r="G102" s="38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4.25" customHeight="1">
      <c r="A103" s="259"/>
      <c r="B103" s="119"/>
      <c r="C103" s="38"/>
      <c r="D103" s="38"/>
      <c r="E103" s="38"/>
      <c r="F103" s="38"/>
      <c r="G103" s="38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4.25" customHeight="1">
      <c r="A104" s="259"/>
      <c r="B104" s="119"/>
      <c r="C104" s="38"/>
      <c r="D104" s="38"/>
      <c r="E104" s="38"/>
      <c r="F104" s="38"/>
      <c r="G104" s="38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4.25" customHeight="1">
      <c r="A105" s="259"/>
      <c r="B105" s="119"/>
      <c r="C105" s="38"/>
      <c r="D105" s="38"/>
      <c r="E105" s="38"/>
      <c r="F105" s="38"/>
      <c r="G105" s="38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4.25" customHeight="1">
      <c r="A106" s="260"/>
      <c r="B106" s="119"/>
      <c r="C106" s="38"/>
      <c r="D106" s="38"/>
      <c r="E106" s="38"/>
      <c r="F106" s="38"/>
      <c r="G106" s="38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4.25" customHeight="1">
      <c r="A107" s="259"/>
      <c r="B107" s="119"/>
      <c r="C107" s="38"/>
      <c r="D107" s="38"/>
      <c r="E107" s="38"/>
      <c r="F107" s="38"/>
      <c r="G107" s="38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4.25" customHeight="1">
      <c r="A108" s="259"/>
      <c r="B108" s="119"/>
      <c r="C108" s="38"/>
      <c r="D108" s="38"/>
      <c r="E108" s="38"/>
      <c r="F108" s="38"/>
      <c r="G108" s="38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4.25" customHeight="1">
      <c r="A109" s="259"/>
      <c r="B109" s="119"/>
      <c r="C109" s="38"/>
      <c r="D109" s="38"/>
      <c r="E109" s="38"/>
      <c r="F109" s="38"/>
      <c r="G109" s="38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4.25" customHeight="1">
      <c r="A110" s="259"/>
      <c r="B110" s="119"/>
      <c r="C110" s="38"/>
      <c r="D110" s="38"/>
      <c r="E110" s="38"/>
      <c r="F110" s="38"/>
      <c r="G110" s="38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4.25" customHeight="1">
      <c r="A111" s="259"/>
      <c r="B111" s="119"/>
      <c r="C111" s="38"/>
      <c r="D111" s="38"/>
      <c r="E111" s="38"/>
      <c r="F111" s="38"/>
      <c r="G111" s="38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4.25" customHeight="1">
      <c r="A112" s="259"/>
      <c r="B112" s="119"/>
      <c r="C112" s="38"/>
      <c r="D112" s="38"/>
      <c r="E112" s="38"/>
      <c r="F112" s="38"/>
      <c r="G112" s="38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4.25" customHeight="1">
      <c r="A113" s="259"/>
      <c r="B113" s="119"/>
      <c r="C113" s="38"/>
      <c r="D113" s="38"/>
      <c r="E113" s="38"/>
      <c r="F113" s="38"/>
      <c r="G113" s="38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4.25" customHeight="1">
      <c r="A114" s="259"/>
      <c r="B114" s="119"/>
      <c r="C114" s="38"/>
      <c r="D114" s="38"/>
      <c r="E114" s="38"/>
      <c r="F114" s="38"/>
      <c r="G114" s="38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4.25" customHeight="1">
      <c r="A115" s="259"/>
      <c r="B115" s="119"/>
      <c r="C115" s="38"/>
      <c r="D115" s="38"/>
      <c r="E115" s="38"/>
      <c r="F115" s="38"/>
      <c r="G115" s="38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4.25" customHeight="1">
      <c r="A116" s="259"/>
      <c r="B116" s="119"/>
      <c r="C116" s="38"/>
      <c r="D116" s="38"/>
      <c r="E116" s="38"/>
      <c r="F116" s="38"/>
      <c r="G116" s="38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4.25" customHeight="1">
      <c r="A117" s="259"/>
      <c r="B117" s="119"/>
      <c r="C117" s="38"/>
      <c r="D117" s="38"/>
      <c r="E117" s="38"/>
      <c r="F117" s="38"/>
      <c r="G117" s="38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4.25" customHeight="1">
      <c r="A118" s="259"/>
      <c r="B118" s="119"/>
      <c r="C118" s="38"/>
      <c r="D118" s="38"/>
      <c r="E118" s="38"/>
      <c r="F118" s="38"/>
      <c r="G118" s="38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4.25" customHeight="1">
      <c r="A119" s="259"/>
      <c r="B119" s="119"/>
      <c r="C119" s="38"/>
      <c r="D119" s="38"/>
      <c r="E119" s="38"/>
      <c r="F119" s="38"/>
      <c r="G119" s="38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4.25" customHeight="1">
      <c r="A120" s="259"/>
      <c r="B120" s="119"/>
      <c r="C120" s="38"/>
      <c r="D120" s="38"/>
      <c r="E120" s="38"/>
      <c r="F120" s="38"/>
      <c r="G120" s="38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4.25" customHeight="1">
      <c r="A121" s="259"/>
      <c r="B121" s="119"/>
      <c r="C121" s="38"/>
      <c r="D121" s="38"/>
      <c r="E121" s="38"/>
      <c r="F121" s="38"/>
      <c r="G121" s="38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4.25" customHeight="1">
      <c r="A122" s="259"/>
      <c r="B122" s="119"/>
      <c r="C122" s="38"/>
      <c r="D122" s="38"/>
      <c r="E122" s="38"/>
      <c r="F122" s="38"/>
      <c r="G122" s="38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4.25" customHeight="1">
      <c r="A123" s="259"/>
      <c r="B123" s="119"/>
      <c r="C123" s="38"/>
      <c r="D123" s="38"/>
      <c r="E123" s="38"/>
      <c r="F123" s="38"/>
      <c r="G123" s="38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4.25" customHeight="1">
      <c r="A124" s="259"/>
      <c r="B124" s="119"/>
      <c r="C124" s="38"/>
      <c r="D124" s="38"/>
      <c r="E124" s="38"/>
      <c r="F124" s="38"/>
      <c r="G124" s="38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4.25" customHeight="1">
      <c r="A125" s="259"/>
      <c r="B125" s="119"/>
      <c r="C125" s="38"/>
      <c r="D125" s="38"/>
      <c r="E125" s="38"/>
      <c r="F125" s="38"/>
      <c r="G125" s="38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4.25" customHeight="1">
      <c r="A126" s="259"/>
      <c r="B126" s="119"/>
      <c r="C126" s="38"/>
      <c r="D126" s="38"/>
      <c r="E126" s="38"/>
      <c r="F126" s="38"/>
      <c r="G126" s="38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4.25" customHeight="1">
      <c r="A127" s="259"/>
      <c r="B127" s="119"/>
      <c r="C127" s="38"/>
      <c r="D127" s="38"/>
      <c r="E127" s="38"/>
      <c r="F127" s="38"/>
      <c r="G127" s="38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4.25" customHeight="1">
      <c r="A128" s="259"/>
      <c r="B128" s="119"/>
      <c r="C128" s="38"/>
      <c r="D128" s="38"/>
      <c r="E128" s="38"/>
      <c r="F128" s="38"/>
      <c r="G128" s="38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4.25" customHeight="1">
      <c r="A129" s="259"/>
      <c r="B129" s="119"/>
      <c r="C129" s="38"/>
      <c r="D129" s="38"/>
      <c r="E129" s="38"/>
      <c r="F129" s="38"/>
      <c r="G129" s="38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4.25" customHeight="1">
      <c r="A130" s="259"/>
      <c r="B130" s="119"/>
      <c r="C130" s="38"/>
      <c r="D130" s="38"/>
      <c r="E130" s="38"/>
      <c r="F130" s="38"/>
      <c r="G130" s="38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4.25" customHeight="1">
      <c r="A131" s="259"/>
      <c r="B131" s="119"/>
      <c r="C131" s="38"/>
      <c r="D131" s="38"/>
      <c r="E131" s="38"/>
      <c r="F131" s="38"/>
      <c r="G131" s="38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4.25" customHeight="1">
      <c r="A132" s="259"/>
      <c r="B132" s="119"/>
      <c r="C132" s="38"/>
      <c r="D132" s="38"/>
      <c r="E132" s="38"/>
      <c r="F132" s="38"/>
      <c r="G132" s="38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4.25" customHeight="1">
      <c r="A133" s="259"/>
      <c r="B133" s="119"/>
      <c r="C133" s="38"/>
      <c r="D133" s="38"/>
      <c r="E133" s="38"/>
      <c r="F133" s="38"/>
      <c r="G133" s="38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4.25" customHeight="1">
      <c r="A134" s="259"/>
      <c r="B134" s="119"/>
      <c r="C134" s="38"/>
      <c r="D134" s="38"/>
      <c r="E134" s="38"/>
      <c r="F134" s="38"/>
      <c r="G134" s="38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4.25" customHeight="1">
      <c r="A135" s="259"/>
      <c r="B135" s="119"/>
      <c r="C135" s="38"/>
      <c r="D135" s="38"/>
      <c r="E135" s="38"/>
      <c r="F135" s="38"/>
      <c r="G135" s="38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4.25" customHeight="1">
      <c r="A136" s="259"/>
      <c r="B136" s="119"/>
      <c r="C136" s="38"/>
      <c r="D136" s="38"/>
      <c r="E136" s="38"/>
      <c r="F136" s="38"/>
      <c r="G136" s="38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4.25" customHeight="1">
      <c r="A137" s="259"/>
      <c r="B137" s="119"/>
      <c r="C137" s="38"/>
      <c r="D137" s="38"/>
      <c r="E137" s="38"/>
      <c r="F137" s="38"/>
      <c r="G137" s="38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4.25" customHeight="1">
      <c r="A138" s="259"/>
      <c r="B138" s="119"/>
      <c r="C138" s="38"/>
      <c r="D138" s="38"/>
      <c r="E138" s="38"/>
      <c r="F138" s="38"/>
      <c r="G138" s="38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4.25" customHeight="1">
      <c r="A139" s="259"/>
      <c r="B139" s="119"/>
      <c r="C139" s="38"/>
      <c r="D139" s="38"/>
      <c r="E139" s="38"/>
      <c r="F139" s="38"/>
      <c r="G139" s="38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4.25" customHeight="1">
      <c r="A140" s="259"/>
      <c r="B140" s="119"/>
      <c r="C140" s="38"/>
      <c r="D140" s="38"/>
      <c r="E140" s="38"/>
      <c r="F140" s="38"/>
      <c r="G140" s="38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4.25" customHeight="1">
      <c r="A141" s="259"/>
      <c r="B141" s="119"/>
      <c r="C141" s="38"/>
      <c r="D141" s="38"/>
      <c r="E141" s="38"/>
      <c r="F141" s="38"/>
      <c r="G141" s="38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4.25" customHeight="1">
      <c r="A142" s="259"/>
      <c r="B142" s="119"/>
      <c r="C142" s="38"/>
      <c r="D142" s="38"/>
      <c r="E142" s="38"/>
      <c r="F142" s="38"/>
      <c r="G142" s="38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4.25" customHeight="1">
      <c r="A143" s="259"/>
      <c r="B143" s="119"/>
      <c r="C143" s="38"/>
      <c r="D143" s="38"/>
      <c r="E143" s="38"/>
      <c r="F143" s="38"/>
      <c r="G143" s="38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4.25" customHeight="1">
      <c r="A144" s="259"/>
      <c r="B144" s="119"/>
      <c r="C144" s="38"/>
      <c r="D144" s="38"/>
      <c r="E144" s="38"/>
      <c r="F144" s="38"/>
      <c r="G144" s="38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4.25" customHeight="1">
      <c r="A145" s="259"/>
      <c r="B145" s="119"/>
      <c r="C145" s="38"/>
      <c r="D145" s="38"/>
      <c r="E145" s="38"/>
      <c r="F145" s="38"/>
      <c r="G145" s="38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4.25" customHeight="1">
      <c r="A146" s="259"/>
      <c r="B146" s="119"/>
      <c r="C146" s="38"/>
      <c r="D146" s="38"/>
      <c r="E146" s="38"/>
      <c r="F146" s="38"/>
      <c r="G146" s="38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4.25" customHeight="1">
      <c r="A147" s="259"/>
      <c r="B147" s="119"/>
      <c r="C147" s="38"/>
      <c r="D147" s="38"/>
      <c r="E147" s="38"/>
      <c r="F147" s="38"/>
      <c r="G147" s="38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4.25" customHeight="1">
      <c r="A148" s="259"/>
      <c r="B148" s="119"/>
      <c r="C148" s="38"/>
      <c r="D148" s="38"/>
      <c r="E148" s="38"/>
      <c r="F148" s="38"/>
      <c r="G148" s="38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4.25" customHeight="1">
      <c r="A149" s="259"/>
      <c r="B149" s="119"/>
      <c r="C149" s="38"/>
      <c r="D149" s="38"/>
      <c r="E149" s="38"/>
      <c r="F149" s="38"/>
      <c r="G149" s="38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4.25" customHeight="1">
      <c r="A150" s="260"/>
      <c r="B150" s="119"/>
      <c r="C150" s="38"/>
      <c r="D150" s="38"/>
      <c r="E150" s="38"/>
      <c r="F150" s="38"/>
      <c r="G150" s="38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4.25" customHeight="1">
      <c r="A151" s="259"/>
      <c r="B151" s="119"/>
      <c r="C151" s="38"/>
      <c r="D151" s="38"/>
      <c r="E151" s="38"/>
      <c r="F151" s="38"/>
      <c r="G151" s="38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4.25" customHeight="1">
      <c r="A152" s="259"/>
      <c r="B152" s="119"/>
      <c r="C152" s="38"/>
      <c r="D152" s="38"/>
      <c r="E152" s="38"/>
      <c r="F152" s="38"/>
      <c r="G152" s="38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4.25" customHeight="1">
      <c r="A153" s="259"/>
      <c r="B153" s="119"/>
      <c r="C153" s="38"/>
      <c r="D153" s="38"/>
      <c r="E153" s="38"/>
      <c r="F153" s="38"/>
      <c r="G153" s="38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4.25" customHeight="1">
      <c r="A154" s="259"/>
      <c r="B154" s="119"/>
      <c r="C154" s="38"/>
      <c r="D154" s="38"/>
      <c r="E154" s="38"/>
      <c r="F154" s="38"/>
      <c r="G154" s="38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4.25" customHeight="1">
      <c r="A155" s="259"/>
      <c r="B155" s="119"/>
      <c r="C155" s="38"/>
      <c r="D155" s="38"/>
      <c r="E155" s="38"/>
      <c r="F155" s="38"/>
      <c r="G155" s="38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4.25" customHeight="1">
      <c r="A156" s="259"/>
      <c r="B156" s="119"/>
      <c r="C156" s="38"/>
      <c r="D156" s="38"/>
      <c r="E156" s="38"/>
      <c r="F156" s="38"/>
      <c r="G156" s="38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4.25" customHeight="1">
      <c r="A157" s="259"/>
      <c r="B157" s="119"/>
      <c r="C157" s="38"/>
      <c r="D157" s="38"/>
      <c r="E157" s="38"/>
      <c r="F157" s="38"/>
      <c r="G157" s="38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4.25" customHeight="1">
      <c r="A158" s="259"/>
      <c r="B158" s="119"/>
      <c r="C158" s="38"/>
      <c r="D158" s="38"/>
      <c r="E158" s="38"/>
      <c r="F158" s="38"/>
      <c r="G158" s="38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4.25" customHeight="1">
      <c r="A159" s="259"/>
      <c r="B159" s="119"/>
      <c r="C159" s="38"/>
      <c r="D159" s="38"/>
      <c r="E159" s="38"/>
      <c r="F159" s="38"/>
      <c r="G159" s="38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4.25" customHeight="1">
      <c r="A160" s="259"/>
      <c r="B160" s="119"/>
      <c r="C160" s="38"/>
      <c r="D160" s="38"/>
      <c r="E160" s="38"/>
      <c r="F160" s="38"/>
      <c r="G160" s="38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4.25" customHeight="1">
      <c r="A161" s="259"/>
      <c r="B161" s="119"/>
      <c r="C161" s="38"/>
      <c r="D161" s="38"/>
      <c r="E161" s="38"/>
      <c r="F161" s="38"/>
      <c r="G161" s="38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4.25" customHeight="1">
      <c r="A162" s="259"/>
      <c r="B162" s="119"/>
      <c r="C162" s="38"/>
      <c r="D162" s="38"/>
      <c r="E162" s="38"/>
      <c r="F162" s="38"/>
      <c r="G162" s="38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4.25" customHeight="1">
      <c r="A163" s="259"/>
      <c r="B163" s="119"/>
      <c r="C163" s="38"/>
      <c r="D163" s="38"/>
      <c r="E163" s="38"/>
      <c r="F163" s="38"/>
      <c r="G163" s="38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4.25" customHeight="1">
      <c r="A164" s="259"/>
      <c r="B164" s="119"/>
      <c r="C164" s="38"/>
      <c r="D164" s="38"/>
      <c r="E164" s="38"/>
      <c r="F164" s="38"/>
      <c r="G164" s="38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4.25" customHeight="1">
      <c r="A165" s="259"/>
      <c r="B165" s="119"/>
      <c r="C165" s="38"/>
      <c r="D165" s="38"/>
      <c r="E165" s="38"/>
      <c r="F165" s="38"/>
      <c r="G165" s="38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4.25" customHeight="1">
      <c r="A166" s="259"/>
      <c r="B166" s="119"/>
      <c r="C166" s="38"/>
      <c r="D166" s="38"/>
      <c r="E166" s="38"/>
      <c r="F166" s="38"/>
      <c r="G166" s="38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4.25" customHeight="1">
      <c r="A167" s="259"/>
      <c r="B167" s="119"/>
      <c r="C167" s="38"/>
      <c r="D167" s="38"/>
      <c r="E167" s="38"/>
      <c r="F167" s="38"/>
      <c r="G167" s="38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4.25" customHeight="1">
      <c r="A168" s="259"/>
      <c r="B168" s="119"/>
      <c r="C168" s="38"/>
      <c r="D168" s="38"/>
      <c r="E168" s="38"/>
      <c r="F168" s="38"/>
      <c r="G168" s="38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4.25" customHeight="1">
      <c r="A169" s="259"/>
      <c r="B169" s="119"/>
      <c r="C169" s="38"/>
      <c r="D169" s="38"/>
      <c r="E169" s="38"/>
      <c r="F169" s="38"/>
      <c r="G169" s="38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4.25" customHeight="1">
      <c r="A170" s="259"/>
      <c r="B170" s="119"/>
      <c r="C170" s="38"/>
      <c r="D170" s="38"/>
      <c r="E170" s="38"/>
      <c r="F170" s="38"/>
      <c r="G170" s="38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4.25" customHeight="1">
      <c r="A171" s="259"/>
      <c r="B171" s="119"/>
      <c r="C171" s="38"/>
      <c r="D171" s="38"/>
      <c r="E171" s="38"/>
      <c r="F171" s="38"/>
      <c r="G171" s="38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4.25" customHeight="1">
      <c r="A172" s="259"/>
      <c r="B172" s="119"/>
      <c r="C172" s="38"/>
      <c r="D172" s="38"/>
      <c r="E172" s="38"/>
      <c r="F172" s="38"/>
      <c r="G172" s="38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4.25" customHeight="1">
      <c r="A173" s="259"/>
      <c r="B173" s="119"/>
      <c r="C173" s="38"/>
      <c r="D173" s="38"/>
      <c r="E173" s="38"/>
      <c r="F173" s="38"/>
      <c r="G173" s="38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4.25" customHeight="1">
      <c r="A174" s="259"/>
      <c r="B174" s="119"/>
      <c r="C174" s="38"/>
      <c r="D174" s="38"/>
      <c r="E174" s="38"/>
      <c r="F174" s="38"/>
      <c r="G174" s="38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4.25" customHeight="1">
      <c r="A175" s="259"/>
      <c r="B175" s="119"/>
      <c r="C175" s="38"/>
      <c r="D175" s="38"/>
      <c r="E175" s="38"/>
      <c r="F175" s="38"/>
      <c r="G175" s="38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4.25" customHeight="1">
      <c r="A176" s="259"/>
      <c r="B176" s="119"/>
      <c r="C176" s="38"/>
      <c r="D176" s="38"/>
      <c r="E176" s="38"/>
      <c r="F176" s="38"/>
      <c r="G176" s="38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4.25" customHeight="1">
      <c r="A177" s="259"/>
      <c r="B177" s="119"/>
      <c r="C177" s="38"/>
      <c r="D177" s="38"/>
      <c r="E177" s="38"/>
      <c r="F177" s="38"/>
      <c r="G177" s="38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4.25" customHeight="1">
      <c r="A178" s="259"/>
      <c r="B178" s="119"/>
      <c r="C178" s="38"/>
      <c r="D178" s="38"/>
      <c r="E178" s="38"/>
      <c r="F178" s="38"/>
      <c r="G178" s="38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4.25" customHeight="1">
      <c r="A179" s="259"/>
      <c r="B179" s="119"/>
      <c r="C179" s="38"/>
      <c r="D179" s="38"/>
      <c r="E179" s="38"/>
      <c r="F179" s="38"/>
      <c r="G179" s="38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4.25" customHeight="1">
      <c r="A180" s="259"/>
      <c r="B180" s="119"/>
      <c r="C180" s="38"/>
      <c r="D180" s="38"/>
      <c r="E180" s="38"/>
      <c r="F180" s="38"/>
      <c r="G180" s="38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4.25" customHeight="1">
      <c r="A181" s="259"/>
      <c r="B181" s="119"/>
      <c r="C181" s="38"/>
      <c r="D181" s="38"/>
      <c r="E181" s="38"/>
      <c r="F181" s="38"/>
      <c r="G181" s="38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4.25" customHeight="1">
      <c r="A182" s="259"/>
      <c r="B182" s="119"/>
      <c r="C182" s="38"/>
      <c r="D182" s="38"/>
      <c r="E182" s="38"/>
      <c r="F182" s="38"/>
      <c r="G182" s="38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4.25" customHeight="1">
      <c r="A183" s="259"/>
      <c r="B183" s="119"/>
      <c r="C183" s="38"/>
      <c r="D183" s="38"/>
      <c r="E183" s="38"/>
      <c r="F183" s="38"/>
      <c r="G183" s="38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4.25" customHeight="1">
      <c r="A184" s="259"/>
      <c r="B184" s="119"/>
      <c r="C184" s="38"/>
      <c r="D184" s="38"/>
      <c r="E184" s="38"/>
      <c r="F184" s="38"/>
      <c r="G184" s="38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4.25" customHeight="1">
      <c r="A185" s="259"/>
      <c r="B185" s="119"/>
      <c r="C185" s="38"/>
      <c r="D185" s="38"/>
      <c r="E185" s="38"/>
      <c r="F185" s="38"/>
      <c r="G185" s="38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4.25" customHeight="1">
      <c r="A186" s="259"/>
      <c r="B186" s="119"/>
      <c r="C186" s="38"/>
      <c r="D186" s="38"/>
      <c r="E186" s="38"/>
      <c r="F186" s="38"/>
      <c r="G186" s="38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4.25" customHeight="1">
      <c r="A187" s="259"/>
      <c r="B187" s="119"/>
      <c r="C187" s="38"/>
      <c r="D187" s="38"/>
      <c r="E187" s="38"/>
      <c r="F187" s="38"/>
      <c r="G187" s="38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4.25" customHeight="1">
      <c r="A188" s="259"/>
      <c r="B188" s="119"/>
      <c r="C188" s="38"/>
      <c r="D188" s="38"/>
      <c r="E188" s="38"/>
      <c r="F188" s="38"/>
      <c r="G188" s="38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4.25" customHeight="1">
      <c r="A189" s="259"/>
      <c r="B189" s="119"/>
      <c r="C189" s="38"/>
      <c r="D189" s="38"/>
      <c r="E189" s="38"/>
      <c r="F189" s="38"/>
      <c r="G189" s="38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4.25" customHeight="1">
      <c r="A190" s="259"/>
      <c r="B190" s="119"/>
      <c r="C190" s="38"/>
      <c r="D190" s="38"/>
      <c r="E190" s="38"/>
      <c r="F190" s="38"/>
      <c r="G190" s="38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4.25" customHeight="1">
      <c r="A191" s="259"/>
      <c r="B191" s="119"/>
      <c r="C191" s="38"/>
      <c r="D191" s="38"/>
      <c r="E191" s="38"/>
      <c r="F191" s="38"/>
      <c r="G191" s="38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4.25" customHeight="1">
      <c r="A192" s="259"/>
      <c r="B192" s="119"/>
      <c r="C192" s="38"/>
      <c r="D192" s="38"/>
      <c r="E192" s="38"/>
      <c r="F192" s="38"/>
      <c r="G192" s="38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4.25" customHeight="1">
      <c r="A193" s="259"/>
      <c r="B193" s="119"/>
      <c r="C193" s="38"/>
      <c r="D193" s="38"/>
      <c r="E193" s="38"/>
      <c r="F193" s="38"/>
      <c r="G193" s="38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4.25" customHeight="1">
      <c r="A194" s="259"/>
      <c r="B194" s="119"/>
      <c r="C194" s="38"/>
      <c r="D194" s="38"/>
      <c r="E194" s="38"/>
      <c r="F194" s="38"/>
      <c r="G194" s="38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4.25" customHeight="1">
      <c r="A195" s="259"/>
      <c r="B195" s="119"/>
      <c r="C195" s="38"/>
      <c r="D195" s="38"/>
      <c r="E195" s="38"/>
      <c r="F195" s="38"/>
      <c r="G195" s="38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4.25" customHeight="1">
      <c r="A196" s="259"/>
      <c r="B196" s="119"/>
      <c r="C196" s="38"/>
      <c r="D196" s="38"/>
      <c r="E196" s="38"/>
      <c r="F196" s="38"/>
      <c r="G196" s="38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4.25" customHeight="1">
      <c r="A197" s="259"/>
      <c r="B197" s="119"/>
      <c r="C197" s="38"/>
      <c r="D197" s="38"/>
      <c r="E197" s="38"/>
      <c r="F197" s="38"/>
      <c r="G197" s="38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4.25" customHeight="1">
      <c r="A198" s="259"/>
      <c r="B198" s="119"/>
      <c r="C198" s="38"/>
      <c r="D198" s="38"/>
      <c r="E198" s="38"/>
      <c r="F198" s="38"/>
      <c r="G198" s="38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4.25" customHeight="1">
      <c r="A199" s="259"/>
      <c r="B199" s="119"/>
      <c r="C199" s="38"/>
      <c r="D199" s="38"/>
      <c r="E199" s="38"/>
      <c r="F199" s="38"/>
      <c r="G199" s="38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ht="14.25" customHeight="1">
      <c r="A200" s="259"/>
      <c r="B200" s="119"/>
      <c r="C200" s="38"/>
      <c r="D200" s="38"/>
      <c r="E200" s="38"/>
      <c r="F200" s="38"/>
      <c r="G200" s="38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ht="14.25" customHeight="1">
      <c r="A201" s="259"/>
      <c r="B201" s="119"/>
      <c r="C201" s="38"/>
      <c r="D201" s="38"/>
      <c r="E201" s="38"/>
      <c r="F201" s="38"/>
      <c r="G201" s="38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ht="14.25" customHeight="1">
      <c r="A202" s="259"/>
      <c r="B202" s="119"/>
      <c r="C202" s="38"/>
      <c r="D202" s="38"/>
      <c r="E202" s="38"/>
      <c r="F202" s="38"/>
      <c r="G202" s="38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ht="14.25" customHeight="1">
      <c r="A203" s="259"/>
      <c r="B203" s="119"/>
      <c r="C203" s="38"/>
      <c r="D203" s="38"/>
      <c r="E203" s="38"/>
      <c r="F203" s="38"/>
      <c r="G203" s="38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ht="14.25" customHeight="1">
      <c r="A204" s="259"/>
      <c r="B204" s="119"/>
      <c r="C204" s="38"/>
      <c r="D204" s="38"/>
      <c r="E204" s="38"/>
      <c r="F204" s="38"/>
      <c r="G204" s="38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ht="14.25" customHeight="1">
      <c r="A205" s="259"/>
      <c r="B205" s="119"/>
      <c r="C205" s="38"/>
      <c r="D205" s="38"/>
      <c r="E205" s="38"/>
      <c r="F205" s="38"/>
      <c r="G205" s="38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ht="14.25" customHeight="1">
      <c r="A206" s="259"/>
      <c r="B206" s="119"/>
      <c r="C206" s="38"/>
      <c r="D206" s="38"/>
      <c r="E206" s="38"/>
      <c r="F206" s="38"/>
      <c r="G206" s="38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ht="14.25" customHeight="1">
      <c r="A207" s="259"/>
      <c r="B207" s="119"/>
      <c r="C207" s="38"/>
      <c r="D207" s="38"/>
      <c r="E207" s="38"/>
      <c r="F207" s="38"/>
      <c r="G207" s="38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ht="14.25" customHeight="1">
      <c r="A208" s="259"/>
      <c r="B208" s="119"/>
      <c r="C208" s="38"/>
      <c r="D208" s="38"/>
      <c r="E208" s="38"/>
      <c r="F208" s="38"/>
      <c r="G208" s="38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ht="14.25" customHeight="1">
      <c r="A209" s="259"/>
      <c r="B209" s="119"/>
      <c r="C209" s="38"/>
      <c r="D209" s="38"/>
      <c r="E209" s="38"/>
      <c r="F209" s="38"/>
      <c r="G209" s="38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ht="14.25" customHeight="1">
      <c r="A210" s="259"/>
      <c r="B210" s="119"/>
      <c r="C210" s="38"/>
      <c r="D210" s="38"/>
      <c r="E210" s="38"/>
      <c r="F210" s="38"/>
      <c r="G210" s="38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ht="14.25" customHeight="1">
      <c r="A211" s="259"/>
      <c r="B211" s="119"/>
      <c r="C211" s="38"/>
      <c r="D211" s="38"/>
      <c r="E211" s="38"/>
      <c r="F211" s="38"/>
      <c r="G211" s="38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ht="14.25" customHeight="1">
      <c r="A212" s="260"/>
      <c r="B212" s="119"/>
      <c r="C212" s="38"/>
      <c r="D212" s="38"/>
      <c r="E212" s="38"/>
      <c r="F212" s="38"/>
      <c r="G212" s="38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ht="14.25" customHeight="1">
      <c r="A213" s="259"/>
      <c r="B213" s="119"/>
      <c r="C213" s="38"/>
      <c r="D213" s="38"/>
      <c r="E213" s="38"/>
      <c r="F213" s="38"/>
      <c r="G213" s="38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ht="64.5" customHeight="1">
      <c r="A214" s="259"/>
      <c r="B214" s="119"/>
      <c r="C214" s="38"/>
      <c r="D214" s="38"/>
      <c r="E214" s="38"/>
      <c r="F214" s="38"/>
      <c r="G214" s="38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ht="53.25" customHeight="1">
      <c r="A215" s="259"/>
      <c r="B215" s="119"/>
      <c r="C215" s="38"/>
      <c r="D215" s="38"/>
      <c r="E215" s="38"/>
      <c r="F215" s="38"/>
      <c r="G215" s="38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ht="14.25" customHeight="1">
      <c r="A216" s="259"/>
      <c r="B216" s="119"/>
      <c r="C216" s="38"/>
      <c r="D216" s="38"/>
      <c r="E216" s="38"/>
      <c r="F216" s="38"/>
      <c r="G216" s="38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ht="14.25" customHeight="1">
      <c r="A217" s="259"/>
      <c r="B217" s="119"/>
      <c r="C217" s="38"/>
      <c r="D217" s="38"/>
      <c r="E217" s="38"/>
      <c r="F217" s="38"/>
      <c r="G217" s="38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ht="14.25" customHeight="1">
      <c r="A218" s="259"/>
      <c r="B218" s="119"/>
      <c r="C218" s="38"/>
      <c r="D218" s="38"/>
      <c r="E218" s="38"/>
      <c r="F218" s="38"/>
      <c r="G218" s="38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ht="14.25" customHeight="1">
      <c r="A219" s="259"/>
      <c r="B219" s="119"/>
      <c r="C219" s="38"/>
      <c r="D219" s="38"/>
      <c r="E219" s="38"/>
      <c r="F219" s="38"/>
      <c r="G219" s="38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ht="14.25" customHeight="1">
      <c r="A220" s="259"/>
      <c r="B220" s="119"/>
      <c r="C220" s="38"/>
      <c r="D220" s="38"/>
      <c r="E220" s="38"/>
      <c r="F220" s="38"/>
      <c r="G220" s="38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ht="14.25" customHeight="1">
      <c r="A221" s="259"/>
      <c r="B221" s="119"/>
      <c r="C221" s="38"/>
      <c r="D221" s="38"/>
      <c r="E221" s="38"/>
      <c r="F221" s="38"/>
      <c r="G221" s="38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ht="14.25" customHeight="1">
      <c r="A222" s="259"/>
      <c r="B222" s="119"/>
      <c r="C222" s="38"/>
      <c r="D222" s="38"/>
      <c r="E222" s="38"/>
      <c r="F222" s="38"/>
      <c r="G222" s="38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ht="14.25" customHeight="1">
      <c r="A223" s="259"/>
      <c r="B223" s="119"/>
      <c r="C223" s="38"/>
      <c r="D223" s="38"/>
      <c r="E223" s="38"/>
      <c r="F223" s="38"/>
      <c r="G223" s="38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ht="14.25" customHeight="1">
      <c r="A224" s="259"/>
      <c r="B224" s="119"/>
      <c r="C224" s="38"/>
      <c r="D224" s="38"/>
      <c r="E224" s="38"/>
      <c r="F224" s="38"/>
      <c r="G224" s="38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ht="14.25" customHeight="1">
      <c r="A225" s="259"/>
      <c r="B225" s="119"/>
      <c r="C225" s="38"/>
      <c r="D225" s="38"/>
      <c r="E225" s="38"/>
      <c r="F225" s="38"/>
      <c r="G225" s="38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ht="14.25" customHeight="1">
      <c r="A226" s="259"/>
      <c r="B226" s="119"/>
      <c r="C226" s="38"/>
      <c r="D226" s="38"/>
      <c r="E226" s="38"/>
      <c r="F226" s="38"/>
      <c r="G226" s="38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ht="14.25" customHeight="1">
      <c r="A227" s="259"/>
      <c r="B227" s="119"/>
      <c r="C227" s="38"/>
      <c r="D227" s="38"/>
      <c r="E227" s="38"/>
      <c r="F227" s="38"/>
      <c r="G227" s="38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ht="14.25" customHeight="1">
      <c r="A228" s="259"/>
      <c r="B228" s="119"/>
      <c r="C228" s="38"/>
      <c r="D228" s="38"/>
      <c r="E228" s="38"/>
      <c r="F228" s="38"/>
      <c r="G228" s="38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ht="14.25" customHeight="1">
      <c r="A229" s="259"/>
      <c r="B229" s="119"/>
      <c r="C229" s="38"/>
      <c r="D229" s="38"/>
      <c r="E229" s="38"/>
      <c r="F229" s="38"/>
      <c r="G229" s="38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ht="14.25" customHeight="1">
      <c r="A230" s="259"/>
      <c r="B230" s="119"/>
      <c r="C230" s="38"/>
      <c r="D230" s="38"/>
      <c r="E230" s="38"/>
      <c r="F230" s="38"/>
      <c r="G230" s="38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ht="14.25" customHeight="1">
      <c r="A231" s="260"/>
      <c r="B231" s="119"/>
      <c r="C231" s="38"/>
      <c r="D231" s="38"/>
      <c r="E231" s="38"/>
      <c r="F231" s="38"/>
      <c r="G231" s="38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ht="14.25" customHeight="1">
      <c r="A232" s="260"/>
      <c r="B232" s="119"/>
      <c r="C232" s="38"/>
      <c r="D232" s="38"/>
      <c r="E232" s="38"/>
      <c r="F232" s="38"/>
      <c r="G232" s="38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ht="14.25" customHeight="1">
      <c r="A233" s="259"/>
      <c r="B233" s="119"/>
      <c r="C233" s="38"/>
      <c r="D233" s="38"/>
      <c r="E233" s="38"/>
      <c r="F233" s="38"/>
      <c r="G233" s="38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ht="14.25" customHeight="1">
      <c r="A234" s="259"/>
      <c r="B234" s="119"/>
      <c r="C234" s="38"/>
      <c r="D234" s="38"/>
      <c r="E234" s="38"/>
      <c r="F234" s="38"/>
      <c r="G234" s="38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ht="14.25" customHeight="1">
      <c r="A235" s="259"/>
      <c r="B235" s="119"/>
      <c r="C235" s="38"/>
      <c r="D235" s="38"/>
      <c r="E235" s="38"/>
      <c r="F235" s="38"/>
      <c r="G235" s="38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ht="14.25" customHeight="1">
      <c r="A236" s="259"/>
      <c r="B236" s="119"/>
      <c r="C236" s="38"/>
      <c r="D236" s="38"/>
      <c r="E236" s="38"/>
      <c r="F236" s="38"/>
      <c r="G236" s="38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ht="14.25" customHeight="1">
      <c r="A237" s="259"/>
      <c r="B237" s="119"/>
      <c r="C237" s="38"/>
      <c r="D237" s="38"/>
      <c r="E237" s="38"/>
      <c r="F237" s="38"/>
      <c r="G237" s="38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ht="14.25" customHeight="1">
      <c r="A238" s="259"/>
      <c r="B238" s="119"/>
      <c r="C238" s="38"/>
      <c r="D238" s="38"/>
      <c r="E238" s="38"/>
      <c r="F238" s="38"/>
      <c r="G238" s="38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ht="14.25" customHeight="1">
      <c r="A239" s="259"/>
      <c r="B239" s="119"/>
      <c r="C239" s="38"/>
      <c r="D239" s="38"/>
      <c r="E239" s="38"/>
      <c r="F239" s="38"/>
      <c r="G239" s="38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ht="14.25" customHeight="1">
      <c r="A240" s="259"/>
      <c r="B240" s="119"/>
      <c r="C240" s="38"/>
      <c r="D240" s="38"/>
      <c r="E240" s="38"/>
      <c r="F240" s="38"/>
      <c r="G240" s="38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ht="14.25" customHeight="1">
      <c r="A241" s="259"/>
      <c r="B241" s="119"/>
      <c r="C241" s="38"/>
      <c r="D241" s="38"/>
      <c r="E241" s="38"/>
      <c r="F241" s="38"/>
      <c r="G241" s="38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ht="14.25" customHeight="1">
      <c r="A242" s="259"/>
      <c r="B242" s="119"/>
      <c r="C242" s="38"/>
      <c r="D242" s="38"/>
      <c r="E242" s="38"/>
      <c r="F242" s="38"/>
      <c r="G242" s="38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ht="14.25" customHeight="1">
      <c r="A243" s="259"/>
      <c r="B243" s="119"/>
      <c r="C243" s="38"/>
      <c r="D243" s="38"/>
      <c r="E243" s="38"/>
      <c r="F243" s="38"/>
      <c r="G243" s="38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ht="14.25" customHeight="1">
      <c r="A244" s="259"/>
      <c r="B244" s="119"/>
      <c r="C244" s="38"/>
      <c r="D244" s="38"/>
      <c r="E244" s="38"/>
      <c r="F244" s="38"/>
      <c r="G244" s="38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ht="14.25" customHeight="1">
      <c r="A245" s="259"/>
      <c r="B245" s="119"/>
      <c r="C245" s="38"/>
      <c r="D245" s="38"/>
      <c r="E245" s="38"/>
      <c r="F245" s="38"/>
      <c r="G245" s="38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ht="71.25" customHeight="1">
      <c r="A246" s="259"/>
      <c r="B246" s="119"/>
      <c r="C246" s="38"/>
      <c r="D246" s="38"/>
      <c r="E246" s="38"/>
      <c r="F246" s="38"/>
      <c r="G246" s="38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ht="14.25" customHeight="1">
      <c r="A247" s="259"/>
      <c r="B247" s="119"/>
      <c r="C247" s="38"/>
      <c r="D247" s="38"/>
      <c r="E247" s="38"/>
      <c r="F247" s="38"/>
      <c r="G247" s="38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>
      <c r="C291" s="261"/>
    </row>
    <row r="292" ht="15.75" customHeight="1">
      <c r="C292" s="261"/>
    </row>
    <row r="293" ht="15.75" customHeight="1">
      <c r="C293" s="261"/>
    </row>
    <row r="294" ht="15.75" customHeight="1">
      <c r="C294" s="261"/>
    </row>
    <row r="295" ht="15.75" customHeight="1">
      <c r="C295" s="261"/>
    </row>
    <row r="296" ht="15.75" customHeight="1">
      <c r="C296" s="261"/>
    </row>
    <row r="297" ht="15.75" customHeight="1">
      <c r="C297" s="261"/>
    </row>
    <row r="298" ht="15.75" customHeight="1">
      <c r="C298" s="261"/>
    </row>
    <row r="299" ht="15.75" customHeight="1">
      <c r="C299" s="261"/>
    </row>
    <row r="300" ht="15.75" customHeight="1">
      <c r="C300" s="261"/>
    </row>
    <row r="301" ht="15.75" customHeight="1">
      <c r="C301" s="261"/>
    </row>
    <row r="302" ht="15.75" customHeight="1">
      <c r="C302" s="261"/>
    </row>
    <row r="303" ht="15.75" customHeight="1"/>
    <row r="304" ht="15.75" customHeight="1"/>
    <row r="305" ht="15.75" customHeight="1">
      <c r="C305" s="261"/>
    </row>
    <row r="306" ht="15.75" customHeight="1"/>
    <row r="307" ht="15.75" customHeight="1">
      <c r="C307" s="261"/>
    </row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>
      <c r="C328" s="261"/>
    </row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>
      <c r="C403" s="261"/>
    </row>
    <row r="404" ht="15.75" customHeight="1">
      <c r="C404" s="261"/>
    </row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>
      <c r="C415" s="261"/>
    </row>
    <row r="416" ht="15.75" customHeight="1">
      <c r="C416" s="261"/>
    </row>
    <row r="417" ht="15.75" customHeight="1"/>
    <row r="418" ht="15.75" customHeight="1"/>
    <row r="419" ht="15.75" customHeight="1">
      <c r="C419" s="261"/>
    </row>
    <row r="420" ht="15.75" customHeight="1">
      <c r="C420" s="261"/>
    </row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>
      <c r="C426" s="261"/>
    </row>
    <row r="427" ht="15.75" customHeight="1"/>
    <row r="428" ht="15.75" customHeight="1">
      <c r="C428" s="261"/>
    </row>
    <row r="429" ht="15.75" customHeight="1">
      <c r="C429" s="261"/>
    </row>
    <row r="430" ht="15.75" customHeight="1">
      <c r="C430" s="261"/>
    </row>
    <row r="431" ht="15.75" customHeight="1">
      <c r="C431" s="261"/>
    </row>
    <row r="432" ht="15.75" customHeight="1">
      <c r="C432" s="261"/>
    </row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>
      <c r="C441" s="261"/>
    </row>
    <row r="442" ht="15.75" customHeight="1">
      <c r="C442" s="261"/>
    </row>
    <row r="443" ht="15.75" customHeight="1">
      <c r="C443" s="261"/>
    </row>
    <row r="444" ht="15.75" customHeight="1">
      <c r="C444" s="261"/>
    </row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>
      <c r="C467" s="261"/>
    </row>
    <row r="468" ht="15.75" customHeight="1">
      <c r="C468" s="261"/>
    </row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>
      <c r="C475" s="261"/>
    </row>
    <row r="476" ht="15.75" customHeight="1">
      <c r="C476" s="261"/>
    </row>
    <row r="477" ht="15.75" customHeight="1"/>
    <row r="478" ht="15.75" customHeight="1"/>
    <row r="479" ht="15.75" customHeight="1">
      <c r="C479" s="261"/>
    </row>
    <row r="480" ht="15.75" customHeight="1">
      <c r="C480" s="261"/>
    </row>
    <row r="481" ht="15.75" customHeight="1">
      <c r="C481" s="261"/>
    </row>
    <row r="482" ht="15.75" customHeight="1">
      <c r="C482" s="261"/>
    </row>
    <row r="483" ht="15.75" customHeight="1">
      <c r="C483" s="261"/>
    </row>
    <row r="484" ht="15.75" customHeight="1">
      <c r="C484" s="261"/>
    </row>
    <row r="485" ht="15.75" customHeight="1">
      <c r="C485" s="261"/>
    </row>
    <row r="486" ht="15.75" customHeight="1">
      <c r="C486" s="261"/>
    </row>
    <row r="487" ht="15.75" customHeight="1">
      <c r="C487" s="261"/>
    </row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>
      <c r="C507" s="261"/>
    </row>
    <row r="508" ht="15.75" customHeight="1">
      <c r="C508" s="261"/>
    </row>
    <row r="509" ht="15.75" customHeight="1">
      <c r="C509" s="261"/>
    </row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C522" s="261"/>
    </row>
    <row r="523" ht="15.75" customHeight="1">
      <c r="C523" s="261"/>
    </row>
    <row r="524" ht="15.75" customHeight="1">
      <c r="C524" s="261"/>
    </row>
    <row r="525" ht="15.75" customHeight="1">
      <c r="C525" s="261"/>
    </row>
    <row r="526" ht="15.75" customHeight="1"/>
    <row r="527" ht="15.75" customHeight="1">
      <c r="C527" s="261"/>
    </row>
    <row r="528" ht="15.75" customHeight="1">
      <c r="C528" s="261"/>
    </row>
    <row r="529" ht="15.75" customHeight="1">
      <c r="C529" s="261"/>
    </row>
    <row r="530" ht="15.75" customHeight="1">
      <c r="C530" s="261"/>
    </row>
    <row r="531" ht="15.75" customHeight="1">
      <c r="C531" s="261"/>
    </row>
    <row r="532" ht="15.75" customHeight="1">
      <c r="C532" s="261"/>
    </row>
    <row r="533" ht="15.75" customHeight="1">
      <c r="C533" s="261"/>
    </row>
    <row r="534" ht="15.75" customHeight="1">
      <c r="C534" s="261"/>
    </row>
    <row r="535" ht="15.75" customHeight="1">
      <c r="C535" s="261"/>
    </row>
    <row r="536" ht="15.75" customHeight="1">
      <c r="C536" s="261"/>
    </row>
    <row r="537" ht="15.75" customHeight="1">
      <c r="C537" s="261"/>
    </row>
    <row r="538" ht="15.75" customHeight="1">
      <c r="C538" s="261"/>
    </row>
    <row r="539" ht="15.75" customHeight="1">
      <c r="C539" s="261"/>
    </row>
    <row r="540" ht="15.75" customHeight="1">
      <c r="C540" s="261"/>
    </row>
    <row r="541" ht="15.75" customHeight="1">
      <c r="C541" s="261"/>
    </row>
    <row r="542" ht="15.75" customHeight="1">
      <c r="C542" s="261"/>
    </row>
    <row r="543" ht="15.75" customHeight="1">
      <c r="C543" s="261"/>
    </row>
    <row r="544" ht="15.75" customHeight="1">
      <c r="C544" s="261"/>
    </row>
    <row r="545" ht="15.75" customHeight="1"/>
    <row r="546" ht="15.75" customHeight="1">
      <c r="C546" s="261"/>
    </row>
    <row r="547" ht="15.75" customHeight="1"/>
    <row r="548" ht="15.75" customHeight="1"/>
    <row r="549" ht="15.75" customHeight="1"/>
    <row r="550" ht="15.75" customHeight="1"/>
    <row r="551" ht="15.75" customHeight="1">
      <c r="C551" s="261"/>
    </row>
    <row r="552" ht="15.75" customHeight="1"/>
    <row r="553" ht="15.75" customHeight="1">
      <c r="C553" s="261"/>
    </row>
    <row r="554" ht="15.75" customHeight="1"/>
    <row r="555" ht="15.75" customHeight="1">
      <c r="C555" s="261"/>
    </row>
    <row r="556" ht="15.75" customHeight="1"/>
    <row r="557" ht="15.75" customHeight="1"/>
    <row r="558" ht="15.75" customHeight="1">
      <c r="C558" s="261"/>
    </row>
    <row r="559" ht="15.75" customHeight="1">
      <c r="C559" s="261"/>
    </row>
    <row r="560" ht="15.75" customHeight="1">
      <c r="C560" s="261"/>
    </row>
    <row r="561" ht="15.75" customHeight="1">
      <c r="C561" s="261"/>
    </row>
    <row r="562" ht="15.75" customHeight="1">
      <c r="C562" s="261"/>
    </row>
    <row r="563" ht="15.75" customHeight="1">
      <c r="C563" s="261"/>
    </row>
    <row r="564" ht="15.75" customHeight="1">
      <c r="C564" s="261"/>
    </row>
    <row r="565" ht="15.75" customHeight="1">
      <c r="C565" s="261"/>
    </row>
    <row r="566" ht="15.75" customHeight="1">
      <c r="C566" s="261"/>
    </row>
    <row r="567" ht="15.75" customHeight="1">
      <c r="C567" s="261"/>
    </row>
    <row r="568" ht="15.75" customHeight="1">
      <c r="C568" s="261"/>
    </row>
    <row r="569" ht="15.75" customHeight="1">
      <c r="C569" s="261"/>
    </row>
    <row r="570" ht="15.75" customHeight="1">
      <c r="C570" s="261"/>
    </row>
    <row r="571" ht="15.75" customHeight="1">
      <c r="C571" s="261"/>
    </row>
    <row r="572" ht="15.75" customHeight="1">
      <c r="C572" s="261"/>
    </row>
    <row r="573" ht="15.75" customHeight="1">
      <c r="C573" s="261"/>
    </row>
    <row r="574" ht="15.75" customHeight="1">
      <c r="C574" s="261"/>
    </row>
    <row r="575" ht="15.75" customHeight="1">
      <c r="C575" s="261"/>
    </row>
    <row r="576" ht="15.75" customHeight="1">
      <c r="C576" s="261"/>
    </row>
    <row r="577" ht="15.75" customHeight="1">
      <c r="C577" s="261"/>
    </row>
    <row r="578" ht="15.75" customHeight="1">
      <c r="C578" s="261"/>
    </row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G1"/>
    <mergeCell ref="A2:G2"/>
    <mergeCell ref="A3:G3"/>
    <mergeCell ref="C5:C6"/>
    <mergeCell ref="D5:D6"/>
    <mergeCell ref="E5:E6"/>
    <mergeCell ref="F5:F6"/>
    <mergeCell ref="G5:G6"/>
  </mergeCells>
  <dataValidations>
    <dataValidation type="list" allowBlank="1" showInputMessage="1" showErrorMessage="1" prompt=" - " sqref="C26:C56 C58:C144 C149:C152 C158 C171 C173:C229 C291:C302 C305 C307 C328 C403:C404 C415:C416 C419:C420 C426 C428:C432 C441:C444 C467:C468 C475:C476 C479:C487 C507:C509 C522:C525 C527:C544 C546 C551 C553 C555 C558:C578">
      <formula1>AreaConcentracao</formula1>
    </dataValidation>
  </dataValidations>
  <printOptions/>
  <pageMargins bottom="0.75" footer="0.0" header="0.0" left="0.7" right="0.7" top="0.75"/>
  <pageSetup orientation="landscape"/>
  <headerFooter>
    <oddFooter>&amp;C&amp;P/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3.43"/>
    <col customWidth="1" min="2" max="21" width="8.0"/>
  </cols>
  <sheetData>
    <row r="1" ht="15.75" customHeight="1">
      <c r="A1" s="262" t="s">
        <v>3224</v>
      </c>
    </row>
    <row r="2" ht="12.75" customHeight="1">
      <c r="A2" s="263"/>
    </row>
    <row r="3" ht="14.25" customHeight="1">
      <c r="A3" s="264" t="s">
        <v>143</v>
      </c>
    </row>
    <row r="4" ht="14.25" customHeight="1">
      <c r="A4" s="38" t="s">
        <v>562</v>
      </c>
    </row>
    <row r="5" ht="14.25" customHeight="1">
      <c r="A5" s="264" t="s">
        <v>337</v>
      </c>
    </row>
    <row r="6" ht="14.25" customHeight="1">
      <c r="A6" s="264" t="s">
        <v>146</v>
      </c>
    </row>
    <row r="7" ht="14.25" customHeight="1">
      <c r="A7" s="264" t="s">
        <v>364</v>
      </c>
    </row>
    <row r="8" ht="12.75" customHeight="1">
      <c r="A8" s="219" t="s">
        <v>3225</v>
      </c>
    </row>
    <row r="9" ht="14.25" customHeight="1">
      <c r="A9" s="38" t="s">
        <v>552</v>
      </c>
    </row>
    <row r="10" ht="12.75" customHeight="1">
      <c r="A10" s="219" t="s">
        <v>1961</v>
      </c>
    </row>
    <row r="11" ht="12.75" customHeight="1">
      <c r="A11" s="219" t="s">
        <v>1961</v>
      </c>
    </row>
    <row r="12" ht="14.25" customHeight="1">
      <c r="A12" s="264" t="s">
        <v>3226</v>
      </c>
    </row>
    <row r="13" ht="14.25" customHeight="1">
      <c r="A13" s="38" t="s">
        <v>568</v>
      </c>
    </row>
    <row r="14" ht="14.25" customHeight="1">
      <c r="A14" s="38" t="s">
        <v>617</v>
      </c>
    </row>
    <row r="15" ht="12.75" customHeight="1">
      <c r="A15" s="219" t="s">
        <v>3227</v>
      </c>
    </row>
    <row r="16" ht="12.75" customHeight="1">
      <c r="A16" s="219" t="s">
        <v>428</v>
      </c>
    </row>
    <row r="17" ht="14.25" customHeight="1">
      <c r="A17" s="38" t="s">
        <v>550</v>
      </c>
    </row>
    <row r="18" ht="14.25" customHeight="1">
      <c r="A18" s="264" t="s">
        <v>417</v>
      </c>
    </row>
    <row r="19" ht="14.25" customHeight="1">
      <c r="A19" s="264" t="s">
        <v>281</v>
      </c>
    </row>
    <row r="20" ht="14.25" customHeight="1">
      <c r="A20" s="38" t="s">
        <v>390</v>
      </c>
    </row>
    <row r="21" ht="12.75" customHeight="1">
      <c r="A21" s="219" t="s">
        <v>430</v>
      </c>
    </row>
    <row r="22" ht="14.25" customHeight="1">
      <c r="A22" s="264" t="s">
        <v>310</v>
      </c>
    </row>
    <row r="23" ht="14.25" customHeight="1">
      <c r="A23" s="264" t="s">
        <v>322</v>
      </c>
    </row>
    <row r="24" ht="14.25" customHeight="1">
      <c r="A24" s="38" t="s">
        <v>529</v>
      </c>
    </row>
    <row r="25" ht="12.75" customHeight="1">
      <c r="A25" s="219" t="s">
        <v>3228</v>
      </c>
    </row>
    <row r="26" ht="14.25" customHeight="1">
      <c r="A26" s="264" t="s">
        <v>303</v>
      </c>
    </row>
    <row r="27" ht="14.25" customHeight="1">
      <c r="A27" s="264" t="s">
        <v>317</v>
      </c>
    </row>
    <row r="28" ht="14.25" customHeight="1">
      <c r="A28" s="38" t="s">
        <v>385</v>
      </c>
    </row>
    <row r="29" ht="14.25" customHeight="1">
      <c r="A29" s="38" t="s">
        <v>250</v>
      </c>
    </row>
    <row r="30" ht="14.25" customHeight="1">
      <c r="A30" s="38" t="s">
        <v>591</v>
      </c>
    </row>
    <row r="31" ht="14.25" customHeight="1">
      <c r="A31" s="38" t="s">
        <v>649</v>
      </c>
    </row>
    <row r="32" ht="14.25" customHeight="1">
      <c r="A32" s="264" t="s">
        <v>333</v>
      </c>
    </row>
    <row r="33" ht="14.25" customHeight="1">
      <c r="A33" s="264" t="s">
        <v>514</v>
      </c>
    </row>
    <row r="34" ht="14.25" customHeight="1">
      <c r="A34" s="264" t="s">
        <v>539</v>
      </c>
    </row>
    <row r="35" ht="14.25" customHeight="1">
      <c r="A35" s="38" t="s">
        <v>587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ht="12.75" customHeight="1">
      <c r="A36" s="119" t="s">
        <v>3229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ht="14.25" customHeight="1">
      <c r="A37" s="38" t="s">
        <v>488</v>
      </c>
    </row>
    <row r="38" ht="14.25" customHeight="1">
      <c r="A38" s="264" t="s">
        <v>183</v>
      </c>
    </row>
    <row r="39" ht="14.25" customHeight="1">
      <c r="A39" s="264" t="s">
        <v>293</v>
      </c>
    </row>
    <row r="40" ht="12.75" customHeight="1">
      <c r="A40" s="219" t="s">
        <v>3230</v>
      </c>
    </row>
    <row r="41" ht="14.25" customHeight="1">
      <c r="A41" s="264" t="s">
        <v>496</v>
      </c>
    </row>
    <row r="42" ht="14.25" customHeight="1">
      <c r="A42" s="264" t="s">
        <v>496</v>
      </c>
    </row>
    <row r="43" ht="14.25" customHeight="1">
      <c r="A43" s="264" t="s">
        <v>150</v>
      </c>
    </row>
    <row r="44" ht="12.75" customHeight="1">
      <c r="A44" s="219" t="s">
        <v>2390</v>
      </c>
    </row>
    <row r="45" ht="12.75" customHeight="1">
      <c r="A45" s="219" t="s">
        <v>1979</v>
      </c>
    </row>
    <row r="46" ht="12.75" customHeight="1">
      <c r="A46" s="219" t="s">
        <v>3231</v>
      </c>
    </row>
    <row r="47" ht="14.25" customHeight="1">
      <c r="A47" s="38" t="s">
        <v>368</v>
      </c>
    </row>
    <row r="48" ht="14.25" customHeight="1">
      <c r="A48" s="38" t="s">
        <v>3232</v>
      </c>
    </row>
    <row r="49" ht="14.25" customHeight="1">
      <c r="A49" s="264" t="s">
        <v>466</v>
      </c>
    </row>
    <row r="50" ht="14.25" customHeight="1">
      <c r="A50" s="264" t="s">
        <v>460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ht="12.75" customHeight="1">
      <c r="A51" s="219" t="s">
        <v>3233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ht="14.25" customHeight="1">
      <c r="A52" s="38" t="s">
        <v>482</v>
      </c>
    </row>
    <row r="53" ht="14.25" customHeight="1">
      <c r="A53" s="38" t="s">
        <v>520</v>
      </c>
    </row>
    <row r="54" ht="14.25" customHeight="1">
      <c r="A54" s="264" t="s">
        <v>176</v>
      </c>
    </row>
    <row r="55" ht="14.25" customHeight="1">
      <c r="A55" s="264" t="s">
        <v>462</v>
      </c>
    </row>
    <row r="56" ht="12.75" customHeight="1">
      <c r="A56" s="219" t="s">
        <v>2655</v>
      </c>
    </row>
    <row r="57" ht="12.75" customHeight="1">
      <c r="A57" s="219" t="s">
        <v>2655</v>
      </c>
    </row>
    <row r="58" ht="14.25" customHeight="1">
      <c r="A58" s="264" t="s">
        <v>472</v>
      </c>
    </row>
    <row r="59" ht="14.25" customHeight="1">
      <c r="A59" s="264" t="s">
        <v>229</v>
      </c>
    </row>
    <row r="60" ht="14.25" customHeight="1">
      <c r="A60" s="264" t="s">
        <v>412</v>
      </c>
    </row>
    <row r="61" ht="14.25" customHeight="1">
      <c r="A61" s="38" t="s">
        <v>537</v>
      </c>
    </row>
    <row r="62" ht="12.75" customHeight="1">
      <c r="A62" s="219" t="s">
        <v>3234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</row>
    <row r="63" ht="14.25" customHeight="1">
      <c r="A63" s="264" t="s">
        <v>578</v>
      </c>
    </row>
    <row r="64" ht="14.25" customHeight="1">
      <c r="A64" s="264" t="s">
        <v>349</v>
      </c>
    </row>
    <row r="65" ht="14.25" customHeight="1">
      <c r="A65" s="38" t="s">
        <v>522</v>
      </c>
    </row>
    <row r="66" ht="14.25" customHeight="1">
      <c r="A66" s="264" t="s">
        <v>307</v>
      </c>
    </row>
    <row r="67" ht="14.25" customHeight="1">
      <c r="A67" s="38" t="s">
        <v>564</v>
      </c>
    </row>
    <row r="68" ht="14.25" customHeight="1">
      <c r="A68" s="38" t="s">
        <v>480</v>
      </c>
    </row>
    <row r="69" ht="14.25" customHeight="1">
      <c r="A69" s="38" t="s">
        <v>3235</v>
      </c>
    </row>
    <row r="70" ht="14.25" customHeight="1">
      <c r="A70" s="264" t="s">
        <v>516</v>
      </c>
    </row>
    <row r="71" ht="14.25" customHeight="1">
      <c r="A71" s="264" t="s">
        <v>213</v>
      </c>
    </row>
    <row r="72" ht="14.25" customHeight="1">
      <c r="A72" s="38" t="s">
        <v>596</v>
      </c>
    </row>
    <row r="73" ht="14.25" customHeight="1">
      <c r="A73" s="264" t="s">
        <v>98</v>
      </c>
    </row>
    <row r="74" ht="14.25" customHeight="1">
      <c r="A74" s="38" t="s">
        <v>524</v>
      </c>
    </row>
    <row r="75" ht="14.25" customHeight="1">
      <c r="A75" s="264" t="s">
        <v>362</v>
      </c>
    </row>
    <row r="76" ht="14.25" customHeight="1">
      <c r="A76" s="38" t="s">
        <v>475</v>
      </c>
    </row>
    <row r="77" ht="14.25" customHeight="1">
      <c r="A77" s="38" t="s">
        <v>547</v>
      </c>
    </row>
    <row r="78" ht="14.25" customHeight="1">
      <c r="A78" s="264" t="s">
        <v>296</v>
      </c>
    </row>
    <row r="79" ht="12.75" customHeight="1">
      <c r="A79" s="219" t="s">
        <v>3236</v>
      </c>
    </row>
    <row r="80" ht="14.25" customHeight="1">
      <c r="A80" s="264" t="s">
        <v>355</v>
      </c>
    </row>
    <row r="81" ht="14.25" customHeight="1">
      <c r="A81" s="264" t="s">
        <v>439</v>
      </c>
    </row>
    <row r="82" ht="14.25" customHeight="1">
      <c r="A82" s="265" t="s">
        <v>446</v>
      </c>
    </row>
    <row r="83" ht="14.25" customHeight="1">
      <c r="A83" s="265" t="s">
        <v>446</v>
      </c>
    </row>
    <row r="84" ht="14.25" customHeight="1">
      <c r="A84" s="264" t="s">
        <v>153</v>
      </c>
    </row>
    <row r="85" ht="14.25" customHeight="1">
      <c r="A85" s="264" t="s">
        <v>490</v>
      </c>
    </row>
    <row r="86" ht="14.25" customHeight="1">
      <c r="A86" s="264" t="s">
        <v>169</v>
      </c>
    </row>
    <row r="87" ht="14.25" customHeight="1">
      <c r="A87" s="264" t="s">
        <v>351</v>
      </c>
    </row>
    <row r="88" ht="14.25" customHeight="1">
      <c r="A88" s="264" t="s">
        <v>415</v>
      </c>
    </row>
    <row r="89" ht="14.25" customHeight="1">
      <c r="A89" s="264" t="s">
        <v>328</v>
      </c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</row>
    <row r="90" ht="14.25" customHeight="1">
      <c r="A90" s="264" t="s">
        <v>200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</row>
    <row r="91" ht="14.25" customHeight="1">
      <c r="A91" s="38" t="s">
        <v>545</v>
      </c>
    </row>
    <row r="92" ht="14.25" customHeight="1">
      <c r="A92" s="264" t="s">
        <v>423</v>
      </c>
    </row>
    <row r="93" ht="14.25" customHeight="1">
      <c r="A93" s="38" t="s">
        <v>403</v>
      </c>
    </row>
    <row r="94" ht="14.25" customHeight="1">
      <c r="A94" s="264" t="s">
        <v>435</v>
      </c>
    </row>
    <row r="95" ht="14.25" customHeight="1">
      <c r="A95" s="38" t="s">
        <v>486</v>
      </c>
    </row>
    <row r="96" ht="14.25" customHeight="1">
      <c r="A96" s="38" t="s">
        <v>913</v>
      </c>
    </row>
    <row r="97" ht="14.25" customHeight="1">
      <c r="A97" s="38" t="s">
        <v>756</v>
      </c>
    </row>
    <row r="98" ht="12.75" customHeight="1">
      <c r="A98" s="219" t="s">
        <v>3237</v>
      </c>
    </row>
    <row r="99" ht="14.25" customHeight="1">
      <c r="A99" s="264" t="s">
        <v>507</v>
      </c>
    </row>
    <row r="100" ht="14.25" customHeight="1">
      <c r="A100" s="264" t="s">
        <v>325</v>
      </c>
    </row>
    <row r="101" ht="14.25" customHeight="1">
      <c r="A101" s="47" t="s">
        <v>373</v>
      </c>
    </row>
    <row r="102" ht="14.25" customHeight="1">
      <c r="A102" s="47" t="s">
        <v>373</v>
      </c>
    </row>
    <row r="103" ht="14.25" customHeight="1">
      <c r="A103" s="264" t="s">
        <v>204</v>
      </c>
    </row>
    <row r="104" ht="12.75" customHeight="1">
      <c r="A104" s="119" t="s">
        <v>3238</v>
      </c>
    </row>
    <row r="105" ht="14.25" customHeight="1">
      <c r="A105" s="38" t="s">
        <v>531</v>
      </c>
    </row>
    <row r="106" ht="14.25" customHeight="1">
      <c r="A106" s="264" t="s">
        <v>432</v>
      </c>
    </row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F$106"/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10.29"/>
    <col customWidth="1" min="2" max="2" width="61.29"/>
    <col customWidth="1" min="3" max="3" width="9.29"/>
    <col customWidth="1" min="4" max="18" width="9.14"/>
    <col customWidth="1" min="19" max="23" width="8.0"/>
  </cols>
  <sheetData>
    <row r="1" ht="15.75" customHeight="1">
      <c r="A1" s="125" t="s">
        <v>3</v>
      </c>
      <c r="B1" s="127" t="s">
        <v>7</v>
      </c>
      <c r="C1" s="127" t="s">
        <v>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  <c r="Q1" s="20"/>
      <c r="R1" s="20"/>
      <c r="S1" s="20"/>
      <c r="T1" s="20"/>
      <c r="U1" s="20"/>
      <c r="V1" s="20"/>
      <c r="W1" s="20"/>
    </row>
    <row r="2" ht="15.0" customHeight="1">
      <c r="A2" s="266" t="s">
        <v>3239</v>
      </c>
      <c r="B2" s="267"/>
      <c r="C2" s="267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0"/>
      <c r="Q2" s="20"/>
      <c r="R2" s="20"/>
      <c r="S2" s="20"/>
      <c r="T2" s="20"/>
      <c r="U2" s="20"/>
      <c r="V2" s="20"/>
      <c r="W2" s="20"/>
    </row>
    <row r="3" ht="14.25" customHeight="1">
      <c r="A3" s="168" t="s">
        <v>2472</v>
      </c>
      <c r="B3" s="38" t="s">
        <v>388</v>
      </c>
      <c r="C3" s="169">
        <v>38965.0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ht="14.25" customHeight="1">
      <c r="A4" s="168"/>
      <c r="B4" s="38"/>
      <c r="C4" s="38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ht="14.25" customHeight="1">
      <c r="A5" s="168"/>
      <c r="B5" s="38"/>
      <c r="C5" s="3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ht="14.25" customHeight="1">
      <c r="A6" s="168"/>
      <c r="B6" s="38"/>
      <c r="C6" s="38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ht="14.25" customHeight="1">
      <c r="A7" s="168"/>
      <c r="B7" s="38"/>
      <c r="C7" s="16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ht="14.25" customHeight="1">
      <c r="A8" s="168"/>
      <c r="B8" s="38"/>
      <c r="C8" s="16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ht="14.25" customHeight="1">
      <c r="A9" s="168"/>
      <c r="B9" s="38"/>
      <c r="C9" s="16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ht="14.25" customHeight="1">
      <c r="A10" s="168"/>
      <c r="B10" s="38"/>
      <c r="C10" s="16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ht="14.25" customHeight="1">
      <c r="A11" s="168"/>
      <c r="B11" s="38"/>
      <c r="C11" s="16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ht="14.25" customHeight="1">
      <c r="A12" s="168"/>
      <c r="B12" s="38"/>
      <c r="C12" s="16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ht="14.25" customHeight="1">
      <c r="A13" s="168"/>
      <c r="B13" s="38"/>
      <c r="C13" s="268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ht="14.25" customHeight="1">
      <c r="A14" s="168"/>
      <c r="B14" s="38"/>
      <c r="C14" s="16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ht="14.25" customHeight="1">
      <c r="A15" s="168"/>
      <c r="B15" s="38"/>
      <c r="C15" s="268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ht="14.25" customHeight="1">
      <c r="A16" s="168"/>
      <c r="B16" s="38"/>
      <c r="C16" s="16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ht="14.25" customHeight="1">
      <c r="A17" s="168"/>
      <c r="B17" s="38"/>
      <c r="C17" s="16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ht="14.25" customHeight="1">
      <c r="A18" s="168"/>
      <c r="B18" s="38"/>
      <c r="C18" s="16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ht="14.25" customHeight="1">
      <c r="A19" s="168"/>
      <c r="B19" s="38"/>
      <c r="C19" s="16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ht="14.25" customHeight="1">
      <c r="A20" s="168"/>
      <c r="B20" s="38"/>
      <c r="C20" s="16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ht="14.25" customHeight="1">
      <c r="A21" s="168"/>
      <c r="B21" s="38"/>
      <c r="C21" s="16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ht="14.25" customHeight="1">
      <c r="A22" s="168"/>
      <c r="B22" s="38"/>
      <c r="C22" s="16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ht="14.25" customHeight="1">
      <c r="A23" s="168"/>
      <c r="B23" s="38"/>
      <c r="C23" s="16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ht="14.25" customHeight="1">
      <c r="A24" s="168"/>
      <c r="B24" s="38"/>
      <c r="C24" s="16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ht="14.25" customHeight="1">
      <c r="A25" s="168"/>
      <c r="B25" s="38"/>
      <c r="C25" s="26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ht="14.25" customHeight="1">
      <c r="A26" s="168"/>
      <c r="B26" s="38"/>
      <c r="C26" s="16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ht="14.25" customHeight="1">
      <c r="A27" s="168"/>
      <c r="B27" s="38"/>
      <c r="C27" s="16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ht="14.25" customHeight="1">
      <c r="A28" s="168"/>
      <c r="B28" s="38"/>
      <c r="C28" s="16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ht="16.5" customHeight="1">
      <c r="A29" s="168"/>
      <c r="B29" s="38"/>
      <c r="C29" s="16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ht="14.25" customHeight="1">
      <c r="A30" s="168"/>
      <c r="B30" s="38"/>
      <c r="C30" s="16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ht="14.25" customHeight="1">
      <c r="A31" s="168"/>
      <c r="B31" s="38"/>
      <c r="C31" s="16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ht="14.25" customHeight="1">
      <c r="A32" s="168"/>
      <c r="B32" s="38"/>
      <c r="C32" s="16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ht="14.25" customHeight="1">
      <c r="A33" s="168"/>
      <c r="B33" s="38"/>
      <c r="C33" s="16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ht="14.25" customHeight="1">
      <c r="A34" s="168"/>
      <c r="B34" s="38"/>
      <c r="C34" s="16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ht="14.25" customHeight="1">
      <c r="A35" s="168"/>
      <c r="B35" s="38"/>
      <c r="C35" s="16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ht="14.25" customHeight="1">
      <c r="A36" s="168"/>
      <c r="B36" s="38"/>
      <c r="C36" s="16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ht="14.25" customHeight="1">
      <c r="A37" s="168"/>
      <c r="B37" s="38"/>
      <c r="C37" s="16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ht="14.25" customHeight="1">
      <c r="A38" s="168"/>
      <c r="B38" s="38"/>
      <c r="C38" s="16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ht="14.25" customHeight="1">
      <c r="A39" s="168"/>
      <c r="B39" s="38"/>
      <c r="C39" s="16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ht="14.25" customHeight="1">
      <c r="A40" s="168"/>
      <c r="B40" s="38"/>
      <c r="C40" s="16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ht="14.25" customHeight="1">
      <c r="A41" s="168"/>
      <c r="B41" s="38"/>
      <c r="C41" s="16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ht="14.25" customHeight="1">
      <c r="A42" s="168"/>
      <c r="B42" s="38"/>
      <c r="C42" s="16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ht="14.25" customHeight="1">
      <c r="A43" s="168"/>
      <c r="B43" s="38"/>
      <c r="C43" s="16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ht="14.25" customHeight="1">
      <c r="A44" s="38"/>
      <c r="B44" s="38"/>
      <c r="C44" s="16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ht="14.25" customHeight="1">
      <c r="A45" s="168"/>
      <c r="B45" s="38"/>
      <c r="C45" s="16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ht="14.25" customHeight="1">
      <c r="A46" s="168"/>
      <c r="B46" s="38"/>
      <c r="C46" s="16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ht="14.25" customHeight="1">
      <c r="A47" s="168"/>
      <c r="B47" s="38"/>
      <c r="C47" s="16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ht="14.25" customHeight="1">
      <c r="A48" s="168"/>
      <c r="B48" s="38"/>
      <c r="C48" s="16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ht="14.25" customHeight="1">
      <c r="A49" s="168"/>
      <c r="B49" s="38"/>
      <c r="C49" s="16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ht="14.25" customHeight="1">
      <c r="A50" s="168"/>
      <c r="B50" s="38"/>
      <c r="C50" s="16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ht="14.25" customHeight="1">
      <c r="A51" s="168"/>
      <c r="B51" s="38"/>
      <c r="C51" s="16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ht="14.25" customHeight="1">
      <c r="A52" s="168"/>
      <c r="B52" s="38"/>
      <c r="C52" s="16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ht="14.25" customHeight="1">
      <c r="A53" s="168"/>
      <c r="B53" s="38"/>
      <c r="C53" s="16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ht="14.25" customHeight="1">
      <c r="A54" s="168"/>
      <c r="B54" s="38"/>
      <c r="C54" s="38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ht="14.25" customHeight="1">
      <c r="A55" s="168"/>
      <c r="B55" s="38"/>
      <c r="C55" s="16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ht="14.25" customHeight="1">
      <c r="A56" s="168"/>
      <c r="B56" s="38"/>
      <c r="C56" s="16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ht="14.25" customHeight="1">
      <c r="A57" s="168"/>
      <c r="B57" s="38"/>
      <c r="C57" s="16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ht="14.25" customHeight="1">
      <c r="A58" s="168"/>
      <c r="B58" s="38"/>
      <c r="C58" s="16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ht="14.25" customHeight="1">
      <c r="A59" s="168"/>
      <c r="B59" s="38"/>
      <c r="C59" s="16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ht="14.25" customHeight="1">
      <c r="A60" s="168"/>
      <c r="B60" s="38"/>
      <c r="C60" s="16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ht="14.25" customHeight="1">
      <c r="A61" s="168"/>
      <c r="B61" s="38"/>
      <c r="C61" s="169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ht="14.25" customHeight="1">
      <c r="A62" s="168"/>
      <c r="B62" s="38"/>
      <c r="C62" s="38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ht="14.25" customHeight="1">
      <c r="A63" s="168"/>
      <c r="B63" s="38"/>
      <c r="C63" s="16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ht="14.25" customHeight="1">
      <c r="A64" s="168"/>
      <c r="B64" s="38"/>
      <c r="C64" s="169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ht="14.25" customHeight="1">
      <c r="A65" s="168"/>
      <c r="B65" s="38"/>
      <c r="C65" s="16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ht="14.25" customHeight="1">
      <c r="A66" s="168"/>
      <c r="B66" s="38"/>
      <c r="C66" s="169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ht="14.25" customHeight="1">
      <c r="A67" s="168"/>
      <c r="B67" s="38"/>
      <c r="C67" s="16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ht="14.25" customHeight="1">
      <c r="A68" s="168"/>
      <c r="B68" s="38"/>
      <c r="C68" s="16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ht="14.25" customHeight="1">
      <c r="A69" s="168"/>
      <c r="B69" s="38"/>
      <c r="C69" s="16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ht="14.25" customHeight="1">
      <c r="A70" s="168"/>
      <c r="B70" s="38"/>
      <c r="C70" s="169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ht="14.25" customHeight="1">
      <c r="A71" s="168"/>
      <c r="B71" s="38"/>
      <c r="C71" s="169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</row>
    <row r="72" ht="14.25" customHeight="1">
      <c r="A72" s="168"/>
      <c r="B72" s="38"/>
      <c r="C72" s="16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</row>
    <row r="73" ht="14.25" customHeight="1">
      <c r="A73" s="168"/>
      <c r="B73" s="38"/>
      <c r="C73" s="16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</row>
    <row r="74" ht="14.25" customHeight="1">
      <c r="A74" s="168"/>
      <c r="B74" s="38"/>
      <c r="C74" s="16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ht="14.25" customHeight="1">
      <c r="A75" s="168"/>
      <c r="B75" s="38"/>
      <c r="C75" s="16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ht="14.25" customHeight="1">
      <c r="A76" s="168"/>
      <c r="B76" s="38"/>
      <c r="C76" s="16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ht="14.25" customHeight="1">
      <c r="A77" s="168"/>
      <c r="B77" s="38"/>
      <c r="C77" s="16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ht="14.25" customHeight="1">
      <c r="A78" s="168"/>
      <c r="B78" s="38"/>
      <c r="C78" s="16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ht="14.25" customHeight="1">
      <c r="A79" s="168"/>
      <c r="B79" s="38"/>
      <c r="C79" s="16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ht="14.25" customHeight="1">
      <c r="A80" s="168"/>
      <c r="B80" s="38"/>
      <c r="C80" s="268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ht="14.25" customHeight="1">
      <c r="A81" s="168"/>
      <c r="B81" s="38"/>
      <c r="C81" s="16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ht="14.25" customHeight="1">
      <c r="A82" s="168"/>
      <c r="B82" s="38"/>
      <c r="C82" s="16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ht="14.25" customHeight="1">
      <c r="A83" s="168"/>
      <c r="B83" s="38"/>
      <c r="C83" s="16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ht="14.25" customHeight="1">
      <c r="A84" s="168"/>
      <c r="B84" s="38"/>
      <c r="C84" s="169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ht="14.25" customHeight="1">
      <c r="A85" s="168"/>
      <c r="B85" s="38"/>
      <c r="C85" s="16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ht="14.25" customHeight="1">
      <c r="A86" s="168"/>
      <c r="B86" s="38"/>
      <c r="C86" s="169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ht="14.25" customHeight="1">
      <c r="A87" s="168"/>
      <c r="B87" s="38"/>
      <c r="C87" s="169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ht="14.25" customHeight="1">
      <c r="A88" s="168"/>
      <c r="B88" s="38"/>
      <c r="C88" s="169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ht="14.25" customHeight="1">
      <c r="A89" s="168"/>
      <c r="B89" s="38"/>
      <c r="C89" s="169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ht="14.25" customHeight="1">
      <c r="A90" s="168"/>
      <c r="B90" s="38"/>
      <c r="C90" s="16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ht="14.25" customHeight="1">
      <c r="A91" s="168"/>
      <c r="B91" s="38"/>
      <c r="C91" s="16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ht="14.25" customHeight="1">
      <c r="A92" s="168"/>
      <c r="B92" s="38"/>
      <c r="C92" s="16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ht="14.25" customHeight="1">
      <c r="A93" s="168"/>
      <c r="B93" s="38"/>
      <c r="C93" s="16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ht="14.25" customHeight="1">
      <c r="A94" s="168"/>
      <c r="B94" s="38"/>
      <c r="C94" s="16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ht="14.25" customHeight="1">
      <c r="A95" s="168"/>
      <c r="B95" s="38"/>
      <c r="C95" s="169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ht="14.25" customHeight="1">
      <c r="A96" s="168"/>
      <c r="B96" s="38"/>
      <c r="C96" s="169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ht="14.25" customHeight="1">
      <c r="A97" s="168"/>
      <c r="B97" s="38"/>
      <c r="C97" s="169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ht="14.25" customHeight="1">
      <c r="A98" s="168"/>
      <c r="B98" s="38"/>
      <c r="C98" s="169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ht="14.25" customHeight="1">
      <c r="A99" s="168"/>
      <c r="B99" s="38"/>
      <c r="C99" s="16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ht="14.25" customHeight="1">
      <c r="A100" s="168"/>
      <c r="B100" s="38"/>
      <c r="C100" s="169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</row>
    <row r="101" ht="14.25" customHeight="1">
      <c r="A101" s="168"/>
      <c r="B101" s="38"/>
      <c r="C101" s="16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</row>
    <row r="102" ht="14.25" customHeight="1">
      <c r="A102" s="168"/>
      <c r="B102" s="38"/>
      <c r="C102" s="169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</row>
    <row r="103" ht="14.25" customHeight="1">
      <c r="A103" s="168"/>
      <c r="B103" s="38"/>
      <c r="C103" s="169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</row>
    <row r="104" ht="14.25" customHeight="1">
      <c r="A104" s="168"/>
      <c r="B104" s="38"/>
      <c r="C104" s="169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</row>
    <row r="105" ht="14.25" customHeight="1">
      <c r="A105" s="168"/>
      <c r="B105" s="38"/>
      <c r="C105" s="16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  <row r="106" ht="14.25" customHeight="1">
      <c r="A106" s="168"/>
      <c r="B106" s="38"/>
      <c r="C106" s="169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ht="14.25" customHeight="1">
      <c r="A107" s="168"/>
      <c r="B107" s="38"/>
      <c r="C107" s="169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</row>
    <row r="108" ht="14.25" customHeight="1">
      <c r="A108" s="168"/>
      <c r="B108" s="38"/>
      <c r="C108" s="16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</row>
    <row r="109" ht="14.25" customHeight="1">
      <c r="A109" s="168"/>
      <c r="B109" s="38"/>
      <c r="C109" s="16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</row>
    <row r="110" ht="14.25" customHeight="1">
      <c r="A110" s="168"/>
      <c r="B110" s="38"/>
      <c r="C110" s="16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ht="14.25" customHeight="1">
      <c r="A111" s="168"/>
      <c r="B111" s="38"/>
      <c r="C111" s="16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ht="14.25" customHeight="1">
      <c r="A112" s="168"/>
      <c r="B112" s="38"/>
      <c r="C112" s="16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</row>
    <row r="113" ht="14.25" customHeight="1">
      <c r="A113" s="168"/>
      <c r="B113" s="38"/>
      <c r="C113" s="16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ht="14.25" customHeight="1">
      <c r="A114" s="168"/>
      <c r="B114" s="38"/>
      <c r="C114" s="16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ht="14.25" customHeight="1">
      <c r="A115" s="168"/>
      <c r="B115" s="38"/>
      <c r="C115" s="16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ht="14.25" customHeight="1">
      <c r="A116" s="168"/>
      <c r="B116" s="38"/>
      <c r="C116" s="16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</row>
    <row r="117" ht="14.25" customHeight="1">
      <c r="A117" s="168"/>
      <c r="B117" s="38"/>
      <c r="C117" s="16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ht="14.25" customHeight="1">
      <c r="A118" s="168"/>
      <c r="B118" s="38"/>
      <c r="C118" s="169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</row>
    <row r="119" ht="14.25" customHeight="1">
      <c r="A119" s="168"/>
      <c r="B119" s="38"/>
      <c r="C119" s="169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ht="14.25" customHeight="1">
      <c r="A120" s="168"/>
      <c r="B120" s="38"/>
      <c r="C120" s="169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ht="14.25" customHeight="1">
      <c r="A121" s="168"/>
      <c r="B121" s="38"/>
      <c r="C121" s="169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</row>
    <row r="122" ht="14.25" customHeight="1">
      <c r="A122" s="168"/>
      <c r="B122" s="38"/>
      <c r="C122" s="169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</row>
    <row r="123" ht="14.25" customHeight="1">
      <c r="A123" s="168"/>
      <c r="B123" s="38"/>
      <c r="C123" s="169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</row>
    <row r="124" ht="14.25" customHeight="1">
      <c r="A124" s="168"/>
      <c r="B124" s="38"/>
      <c r="C124" s="169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</row>
    <row r="125" ht="14.25" customHeight="1">
      <c r="A125" s="168"/>
      <c r="B125" s="38"/>
      <c r="C125" s="169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</row>
    <row r="126" ht="14.25" customHeight="1">
      <c r="A126" s="168"/>
      <c r="B126" s="38"/>
      <c r="C126" s="16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</row>
    <row r="127" ht="14.25" customHeight="1">
      <c r="A127" s="168"/>
      <c r="B127" s="38"/>
      <c r="C127" s="16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</row>
    <row r="128" ht="14.25" customHeight="1">
      <c r="A128" s="168"/>
      <c r="B128" s="38"/>
      <c r="C128" s="16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</row>
    <row r="129" ht="14.25" customHeight="1">
      <c r="A129" s="168"/>
      <c r="B129" s="38"/>
      <c r="C129" s="169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</row>
    <row r="130" ht="14.25" customHeight="1">
      <c r="A130" s="168"/>
      <c r="B130" s="38"/>
      <c r="C130" s="169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</row>
    <row r="131" ht="14.25" customHeight="1">
      <c r="A131" s="168"/>
      <c r="B131" s="38"/>
      <c r="C131" s="169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</row>
    <row r="132" ht="14.25" customHeight="1">
      <c r="A132" s="168"/>
      <c r="B132" s="38"/>
      <c r="C132" s="169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</row>
    <row r="133" ht="14.25" customHeight="1">
      <c r="A133" s="168"/>
      <c r="B133" s="38"/>
      <c r="C133" s="268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</row>
    <row r="134" ht="14.25" customHeight="1">
      <c r="A134" s="168"/>
      <c r="B134" s="38"/>
      <c r="C134" s="169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</row>
    <row r="135" ht="14.25" customHeight="1">
      <c r="A135" s="168"/>
      <c r="B135" s="38"/>
      <c r="C135" s="169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</row>
    <row r="136" ht="14.25" customHeight="1">
      <c r="A136" s="168"/>
      <c r="B136" s="38"/>
      <c r="C136" s="169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</row>
    <row r="137" ht="14.25" customHeight="1">
      <c r="A137" s="168"/>
      <c r="B137" s="38"/>
      <c r="C137" s="169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</row>
    <row r="138" ht="14.25" customHeight="1">
      <c r="A138" s="168"/>
      <c r="B138" s="38"/>
      <c r="C138" s="169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</row>
    <row r="139" ht="14.25" customHeight="1">
      <c r="A139" s="168"/>
      <c r="B139" s="38"/>
      <c r="C139" s="169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</row>
    <row r="140" ht="14.25" customHeight="1">
      <c r="A140" s="168"/>
      <c r="B140" s="38"/>
      <c r="C140" s="169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</row>
    <row r="141" ht="14.25" customHeight="1">
      <c r="A141" s="168"/>
      <c r="B141" s="38"/>
      <c r="C141" s="169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</row>
    <row r="142" ht="14.25" customHeight="1">
      <c r="A142" s="168"/>
      <c r="B142" s="38"/>
      <c r="C142" s="16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</row>
    <row r="143" ht="14.25" customHeight="1">
      <c r="A143" s="168"/>
      <c r="B143" s="38"/>
      <c r="C143" s="169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</row>
    <row r="144" ht="14.25" customHeight="1">
      <c r="A144" s="168"/>
      <c r="B144" s="38"/>
      <c r="C144" s="16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</row>
    <row r="145" ht="14.25" customHeight="1">
      <c r="A145" s="168"/>
      <c r="B145" s="38"/>
      <c r="C145" s="169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</row>
    <row r="146" ht="14.25" customHeight="1">
      <c r="A146" s="168"/>
      <c r="B146" s="38"/>
      <c r="C146" s="16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</row>
    <row r="147" ht="14.25" customHeight="1">
      <c r="A147" s="168"/>
      <c r="B147" s="38"/>
      <c r="C147" s="16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</row>
    <row r="148" ht="14.25" customHeight="1">
      <c r="A148" s="8"/>
      <c r="B148" s="38"/>
      <c r="C148" s="169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</row>
    <row r="149" ht="14.25" customHeight="1">
      <c r="A149" s="168"/>
      <c r="B149" s="38"/>
      <c r="C149" s="169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</row>
    <row r="150" ht="14.25" customHeight="1">
      <c r="A150" s="168"/>
      <c r="B150" s="38"/>
      <c r="C150" s="169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</row>
    <row r="151" ht="14.25" customHeight="1">
      <c r="A151" s="168"/>
      <c r="B151" s="38"/>
      <c r="C151" s="169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</row>
    <row r="152" ht="14.25" customHeight="1">
      <c r="A152" s="38"/>
      <c r="B152" s="38"/>
      <c r="C152" s="169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</row>
    <row r="153" ht="14.25" customHeight="1">
      <c r="A153" s="168"/>
      <c r="B153" s="38"/>
      <c r="C153" s="169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</row>
    <row r="154" ht="14.25" customHeight="1">
      <c r="A154" s="168"/>
      <c r="B154" s="38"/>
      <c r="C154" s="169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</row>
    <row r="155" ht="14.25" customHeight="1">
      <c r="A155" s="168"/>
      <c r="B155" s="38"/>
      <c r="C155" s="169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</row>
    <row r="156" ht="14.25" customHeight="1">
      <c r="A156" s="168"/>
      <c r="B156" s="38"/>
      <c r="C156" s="169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</row>
    <row r="157" ht="14.25" customHeight="1">
      <c r="A157" s="168"/>
      <c r="B157" s="38"/>
      <c r="C157" s="169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</row>
    <row r="158" ht="14.25" customHeight="1">
      <c r="A158" s="168"/>
      <c r="B158" s="38"/>
      <c r="C158" s="169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</row>
    <row r="159" ht="14.25" customHeight="1">
      <c r="A159" s="168"/>
      <c r="B159" s="38"/>
      <c r="C159" s="169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</row>
    <row r="160" ht="14.25" customHeight="1">
      <c r="A160" s="168"/>
      <c r="B160" s="38"/>
      <c r="C160" s="169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</row>
    <row r="161" ht="14.25" customHeight="1">
      <c r="A161" s="168"/>
      <c r="B161" s="38"/>
      <c r="C161" s="169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</row>
    <row r="162" ht="14.25" customHeight="1">
      <c r="A162" s="168"/>
      <c r="B162" s="38"/>
      <c r="C162" s="16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</row>
    <row r="163" ht="14.25" customHeight="1">
      <c r="A163" s="168"/>
      <c r="B163" s="38"/>
      <c r="C163" s="169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</row>
    <row r="164" ht="14.25" customHeight="1">
      <c r="A164" s="168"/>
      <c r="B164" s="38"/>
      <c r="C164" s="169"/>
      <c r="D164" s="38"/>
      <c r="E164" s="30"/>
      <c r="F164" s="38"/>
      <c r="G164" s="30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30"/>
      <c r="T164" s="30"/>
      <c r="U164" s="30"/>
      <c r="V164" s="30"/>
      <c r="W164" s="30"/>
    </row>
    <row r="165" ht="14.25" customHeight="1">
      <c r="A165" s="168"/>
      <c r="B165" s="38"/>
      <c r="C165" s="16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</row>
    <row r="166" ht="14.25" customHeight="1">
      <c r="A166" s="168"/>
      <c r="B166" s="38"/>
      <c r="C166" s="169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</row>
    <row r="167" ht="14.25" customHeight="1">
      <c r="A167" s="168"/>
      <c r="B167" s="38"/>
      <c r="C167" s="169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</row>
    <row r="168" ht="14.25" customHeight="1">
      <c r="A168" s="168"/>
      <c r="B168" s="38"/>
      <c r="C168" s="169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</row>
    <row r="169" ht="14.25" customHeight="1">
      <c r="A169" s="168"/>
      <c r="B169" s="38"/>
      <c r="C169" s="169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</row>
    <row r="170" ht="14.25" customHeight="1">
      <c r="A170" s="168"/>
      <c r="B170" s="38"/>
      <c r="C170" s="169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</row>
    <row r="171" ht="14.25" customHeight="1">
      <c r="A171" s="168"/>
      <c r="B171" s="38"/>
      <c r="C171" s="169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</row>
    <row r="172" ht="14.25" customHeight="1">
      <c r="A172" s="168"/>
      <c r="B172" s="38"/>
      <c r="C172" s="169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</row>
    <row r="173" ht="14.25" customHeight="1">
      <c r="A173" s="168"/>
      <c r="B173" s="38"/>
      <c r="C173" s="169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</row>
    <row r="174" ht="14.25" customHeight="1">
      <c r="A174" s="168"/>
      <c r="B174" s="38"/>
      <c r="C174" s="169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</row>
    <row r="175" ht="14.25" customHeight="1">
      <c r="A175" s="168"/>
      <c r="B175" s="38"/>
      <c r="C175" s="169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</row>
    <row r="176" ht="14.25" customHeight="1">
      <c r="A176" s="168"/>
      <c r="B176" s="38"/>
      <c r="C176" s="169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</row>
    <row r="177" ht="14.25" customHeight="1">
      <c r="A177" s="168"/>
      <c r="B177" s="38"/>
      <c r="C177" s="169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</row>
    <row r="178" ht="14.25" customHeight="1">
      <c r="A178" s="168"/>
      <c r="B178" s="38"/>
      <c r="C178" s="169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</row>
    <row r="179" ht="14.25" customHeight="1">
      <c r="A179" s="168"/>
      <c r="B179" s="38"/>
      <c r="C179" s="169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</row>
    <row r="180" ht="14.25" customHeight="1">
      <c r="A180" s="168"/>
      <c r="B180" s="38"/>
      <c r="C180" s="16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</row>
    <row r="181" ht="14.25" customHeight="1">
      <c r="A181" s="168"/>
      <c r="B181" s="38"/>
      <c r="C181" s="169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</row>
    <row r="182" ht="14.25" customHeight="1">
      <c r="A182" s="168"/>
      <c r="B182" s="38"/>
      <c r="C182" s="169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</row>
    <row r="183" ht="14.25" customHeight="1">
      <c r="A183" s="168"/>
      <c r="B183" s="38"/>
      <c r="C183" s="16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</row>
    <row r="184" ht="14.25" customHeight="1">
      <c r="A184" s="168"/>
      <c r="B184" s="38"/>
      <c r="C184" s="16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</row>
    <row r="185" ht="14.25" customHeight="1">
      <c r="A185" s="168"/>
      <c r="B185" s="38"/>
      <c r="C185" s="169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</row>
    <row r="186" ht="14.25" customHeight="1">
      <c r="A186" s="168"/>
      <c r="B186" s="38"/>
      <c r="C186" s="169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</row>
    <row r="187" ht="14.25" customHeight="1">
      <c r="A187" s="168"/>
      <c r="B187" s="38"/>
      <c r="C187" s="169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</row>
    <row r="188" ht="14.25" customHeight="1">
      <c r="A188" s="168"/>
      <c r="B188" s="38"/>
      <c r="C188" s="169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</row>
    <row r="189" ht="14.25" customHeight="1">
      <c r="A189" s="38"/>
      <c r="B189" s="38"/>
      <c r="C189" s="169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</row>
    <row r="190" ht="14.25" customHeight="1">
      <c r="A190" s="168"/>
      <c r="B190" s="38"/>
      <c r="C190" s="169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</row>
    <row r="191" ht="14.25" customHeight="1">
      <c r="A191" s="168"/>
      <c r="B191" s="38"/>
      <c r="C191" s="169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</row>
    <row r="192" ht="14.25" customHeight="1">
      <c r="A192" s="168"/>
      <c r="B192" s="38"/>
      <c r="C192" s="169"/>
      <c r="D192" s="38"/>
      <c r="E192" s="30"/>
      <c r="F192" s="38"/>
      <c r="G192" s="30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30"/>
      <c r="T192" s="30"/>
      <c r="U192" s="30"/>
      <c r="V192" s="30"/>
      <c r="W192" s="30"/>
    </row>
    <row r="193" ht="14.25" customHeight="1">
      <c r="A193" s="168"/>
      <c r="B193" s="38"/>
      <c r="C193" s="169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</row>
    <row r="194" ht="14.25" customHeight="1">
      <c r="A194" s="168"/>
      <c r="B194" s="38"/>
      <c r="C194" s="169"/>
      <c r="D194" s="38"/>
      <c r="E194" s="30"/>
      <c r="F194" s="38"/>
      <c r="G194" s="30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30"/>
      <c r="T194" s="30"/>
      <c r="U194" s="30"/>
      <c r="V194" s="30"/>
      <c r="W194" s="30"/>
    </row>
    <row r="195" ht="14.25" customHeight="1">
      <c r="A195" s="168"/>
      <c r="B195" s="38"/>
      <c r="C195" s="169"/>
      <c r="D195" s="38"/>
      <c r="E195" s="30"/>
      <c r="F195" s="38"/>
      <c r="G195" s="30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30"/>
      <c r="T195" s="30"/>
      <c r="U195" s="30"/>
      <c r="V195" s="30"/>
      <c r="W195" s="30"/>
    </row>
    <row r="196" ht="14.25" customHeight="1">
      <c r="A196" s="168"/>
      <c r="B196" s="38"/>
      <c r="C196" s="169"/>
      <c r="D196" s="38"/>
      <c r="E196" s="30"/>
      <c r="F196" s="38"/>
      <c r="G196" s="30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30"/>
      <c r="T196" s="30"/>
      <c r="U196" s="30"/>
      <c r="V196" s="30"/>
      <c r="W196" s="30"/>
    </row>
    <row r="197" ht="14.25" customHeight="1">
      <c r="A197" s="168"/>
      <c r="B197" s="38"/>
      <c r="C197" s="169"/>
      <c r="D197" s="38"/>
      <c r="E197" s="30"/>
      <c r="F197" s="38"/>
      <c r="G197" s="30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30"/>
      <c r="U197" s="30"/>
      <c r="V197" s="30"/>
      <c r="W197" s="30"/>
    </row>
    <row r="198" ht="14.25" customHeight="1">
      <c r="A198" s="168"/>
      <c r="B198" s="38"/>
      <c r="C198" s="169"/>
      <c r="D198" s="38"/>
      <c r="E198" s="30"/>
      <c r="F198" s="38"/>
      <c r="G198" s="30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30"/>
      <c r="U198" s="30"/>
      <c r="V198" s="30"/>
      <c r="W198" s="30"/>
    </row>
    <row r="199" ht="14.25" customHeight="1">
      <c r="A199" s="168"/>
      <c r="B199" s="38"/>
      <c r="C199" s="169"/>
      <c r="D199" s="38"/>
      <c r="E199" s="30"/>
      <c r="F199" s="38"/>
      <c r="G199" s="30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30"/>
      <c r="U199" s="30"/>
      <c r="V199" s="30"/>
      <c r="W199" s="30"/>
    </row>
    <row r="200" ht="14.25" customHeight="1">
      <c r="A200" s="168"/>
      <c r="B200" s="38"/>
      <c r="C200" s="169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</row>
    <row r="201" ht="14.25" customHeight="1">
      <c r="A201" s="168"/>
      <c r="B201" s="38"/>
      <c r="C201" s="16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</row>
    <row r="202" ht="14.25" customHeight="1">
      <c r="A202" s="168"/>
      <c r="B202" s="38"/>
      <c r="C202" s="169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</row>
    <row r="203" ht="14.25" customHeight="1">
      <c r="A203" s="168"/>
      <c r="B203" s="38"/>
      <c r="C203" s="169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</row>
    <row r="204" ht="14.25" customHeight="1">
      <c r="A204" s="168"/>
      <c r="B204" s="38"/>
      <c r="C204" s="169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</row>
    <row r="205" ht="14.25" customHeight="1">
      <c r="A205" s="168"/>
      <c r="B205" s="38"/>
      <c r="C205" s="169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</row>
    <row r="206" ht="14.25" customHeight="1">
      <c r="A206" s="168"/>
      <c r="B206" s="38"/>
      <c r="C206" s="169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</row>
    <row r="207" ht="14.25" customHeight="1">
      <c r="A207" s="168"/>
      <c r="B207" s="38"/>
      <c r="C207" s="169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</row>
    <row r="208" ht="14.25" customHeight="1">
      <c r="A208" s="168"/>
      <c r="B208" s="38"/>
      <c r="C208" s="169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</row>
    <row r="209" ht="14.25" customHeight="1">
      <c r="A209" s="168"/>
      <c r="B209" s="38"/>
      <c r="C209" s="169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</row>
    <row r="210" ht="14.25" customHeight="1">
      <c r="A210" s="168"/>
      <c r="B210" s="38"/>
      <c r="C210" s="169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</row>
    <row r="211" ht="14.25" customHeight="1">
      <c r="A211" s="168"/>
      <c r="B211" s="38"/>
      <c r="C211" s="169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</row>
    <row r="212" ht="14.25" customHeight="1">
      <c r="A212" s="168"/>
      <c r="B212" s="38"/>
      <c r="C212" s="169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</row>
    <row r="213" ht="14.25" customHeight="1">
      <c r="A213" s="168"/>
      <c r="B213" s="38"/>
      <c r="C213" s="169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</row>
    <row r="214" ht="14.25" customHeight="1">
      <c r="A214" s="168"/>
      <c r="B214" s="38"/>
      <c r="C214" s="169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</row>
    <row r="215" ht="14.25" customHeight="1">
      <c r="A215" s="168"/>
      <c r="B215" s="38"/>
      <c r="C215" s="169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</row>
    <row r="216" ht="14.25" customHeight="1">
      <c r="A216" s="168"/>
      <c r="B216" s="38"/>
      <c r="C216" s="16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</row>
    <row r="217" ht="14.25" customHeight="1">
      <c r="A217" s="168"/>
      <c r="B217" s="38"/>
      <c r="C217" s="169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</row>
    <row r="218" ht="14.25" customHeight="1">
      <c r="A218" s="168"/>
      <c r="B218" s="38"/>
      <c r="C218" s="169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</row>
    <row r="219" ht="14.25" customHeight="1">
      <c r="A219" s="168"/>
      <c r="B219" s="38"/>
      <c r="C219" s="169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</row>
    <row r="220" ht="14.25" customHeight="1">
      <c r="A220" s="168"/>
      <c r="B220" s="38"/>
      <c r="C220" s="16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C$220"/>
  <hyperlinks>
    <hyperlink r:id="rId1" ref="A3"/>
  </hyperlinks>
  <printOptions/>
  <pageMargins bottom="0.75" footer="0.0" header="0.0" left="0.7" right="0.7" top="0.75"/>
  <pageSetup orientation="landscape"/>
  <headerFooter>
    <oddFooter>&amp;C&amp;P/</oddFooter>
  </headerFooter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2014-05-20T14:02:32Z</dcterms:created>
  <dc:creator>01201210066</dc:creator>
</cp:coreProperties>
</file>